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6708"/>
  </bookViews>
  <sheets>
    <sheet name="Intro" sheetId="3" r:id="rId1"/>
    <sheet name="Summary" sheetId="23" r:id="rId2"/>
    <sheet name="IWI" sheetId="2" r:id="rId3"/>
    <sheet name="EWI" sheetId="10" r:id="rId4"/>
    <sheet name="CWI" sheetId="11" r:id="rId5"/>
    <sheet name="PWI" sheetId="12" r:id="rId6"/>
    <sheet name="R1" sheetId="4" r:id="rId7"/>
    <sheet name="R2" sheetId="13" r:id="rId8"/>
    <sheet name="R3" sheetId="14" r:id="rId9"/>
    <sheet name="F1" sheetId="15" r:id="rId10"/>
    <sheet name="DG" sheetId="6" r:id="rId11"/>
    <sheet name="SG" sheetId="18" r:id="rId12"/>
    <sheet name="GAS" sheetId="8" r:id="rId13"/>
    <sheet name="OIL" sheetId="19" r:id="rId14"/>
    <sheet name="CH" sheetId="20" r:id="rId15"/>
    <sheet name="HWC" sheetId="21" r:id="rId16"/>
    <sheet name="LED" sheetId="7" r:id="rId17"/>
    <sheet name="DP" sheetId="5" r:id="rId18"/>
  </sheets>
  <calcPr calcId="145621"/>
</workbook>
</file>

<file path=xl/calcChain.xml><?xml version="1.0" encoding="utf-8"?>
<calcChain xmlns="http://schemas.openxmlformats.org/spreadsheetml/2006/main">
  <c r="D13" i="6" l="1"/>
  <c r="E14" i="6"/>
  <c r="C11" i="6"/>
  <c r="C7" i="6"/>
  <c r="E35" i="6"/>
  <c r="D14" i="6" s="1"/>
  <c r="E33" i="6"/>
  <c r="D12" i="6" s="1"/>
  <c r="E32" i="6"/>
  <c r="D11" i="6" s="1"/>
  <c r="E31" i="6"/>
  <c r="D10" i="6" s="1"/>
  <c r="E30" i="6"/>
  <c r="C9" i="6" s="1"/>
  <c r="E29" i="6"/>
  <c r="D8" i="6" s="1"/>
  <c r="E28" i="6"/>
  <c r="D7" i="6" s="1"/>
  <c r="D9" i="6"/>
  <c r="D5" i="6"/>
  <c r="E6" i="6"/>
  <c r="E27" i="6"/>
  <c r="D6" i="6" s="1"/>
  <c r="E13" i="20"/>
  <c r="E12" i="20"/>
  <c r="E11" i="20"/>
  <c r="E10" i="20"/>
  <c r="E9" i="20"/>
  <c r="E8" i="20"/>
  <c r="E7" i="20"/>
  <c r="E6" i="20"/>
  <c r="E5" i="20"/>
  <c r="D13" i="19"/>
  <c r="D11" i="19"/>
  <c r="D10" i="19"/>
  <c r="E13" i="19"/>
  <c r="E11" i="19"/>
  <c r="E10" i="19"/>
  <c r="D9" i="19"/>
  <c r="E8" i="19"/>
  <c r="D8" i="19"/>
  <c r="C8" i="19"/>
  <c r="D7" i="19"/>
  <c r="C13" i="19"/>
  <c r="C11" i="19"/>
  <c r="C10" i="19"/>
  <c r="C9" i="19"/>
  <c r="E7" i="19"/>
  <c r="C7" i="19"/>
  <c r="D12" i="19"/>
  <c r="E6" i="19"/>
  <c r="D6" i="19"/>
  <c r="C6" i="19"/>
  <c r="C5" i="19"/>
  <c r="D5" i="19"/>
  <c r="E12" i="8"/>
  <c r="E11" i="8"/>
  <c r="E10" i="8"/>
  <c r="E9" i="8"/>
  <c r="E8" i="8"/>
  <c r="C8" i="8"/>
  <c r="E5" i="8"/>
  <c r="E6" i="8"/>
  <c r="C6" i="8"/>
  <c r="E7" i="8"/>
  <c r="C7" i="8"/>
  <c r="E13" i="8"/>
  <c r="D6" i="8"/>
  <c r="D5" i="8"/>
  <c r="D13" i="18"/>
  <c r="D10" i="18"/>
  <c r="C13" i="18"/>
  <c r="C10" i="18"/>
  <c r="D11" i="18"/>
  <c r="D9" i="18"/>
  <c r="D14" i="18"/>
  <c r="D12" i="18"/>
  <c r="D8" i="18"/>
  <c r="D7" i="18"/>
  <c r="D6" i="18"/>
  <c r="D5" i="7"/>
  <c r="C8" i="6" l="1"/>
  <c r="C10" i="6"/>
  <c r="C14" i="6"/>
  <c r="D14" i="4"/>
  <c r="D13" i="4"/>
  <c r="D12" i="4"/>
  <c r="D11" i="4"/>
  <c r="D10" i="4"/>
  <c r="D9" i="4"/>
  <c r="D8" i="4"/>
  <c r="D7" i="4"/>
  <c r="D6" i="4"/>
  <c r="E14" i="4"/>
  <c r="E13" i="4"/>
  <c r="E12" i="4"/>
  <c r="E11" i="4"/>
  <c r="E10" i="4"/>
  <c r="E9" i="4"/>
  <c r="E8" i="4"/>
  <c r="E7" i="4"/>
  <c r="E6" i="4"/>
  <c r="D14" i="11"/>
  <c r="D12" i="11"/>
  <c r="D11" i="11"/>
  <c r="D10" i="11"/>
  <c r="D9" i="11"/>
  <c r="D8" i="11"/>
  <c r="D7" i="11"/>
  <c r="D6" i="11"/>
  <c r="E14" i="11"/>
  <c r="E11" i="11"/>
  <c r="E10" i="11"/>
  <c r="E9" i="11"/>
  <c r="E8" i="11"/>
  <c r="E7" i="11"/>
  <c r="E6" i="11"/>
  <c r="D13" i="10" l="1"/>
  <c r="C12" i="10"/>
  <c r="D11" i="10"/>
  <c r="C11" i="10"/>
  <c r="E9" i="10"/>
  <c r="D9" i="10"/>
  <c r="C9" i="10"/>
  <c r="E7" i="10"/>
  <c r="D7" i="10"/>
  <c r="C7" i="10"/>
  <c r="E6" i="10"/>
  <c r="J33" i="20" l="1"/>
  <c r="J32" i="20"/>
  <c r="J31" i="20"/>
  <c r="J30" i="20"/>
  <c r="J29" i="20"/>
  <c r="J28" i="20"/>
  <c r="J27" i="20"/>
  <c r="J26" i="20"/>
  <c r="J25" i="20"/>
  <c r="G26" i="8"/>
  <c r="G28" i="8"/>
  <c r="J33" i="8"/>
  <c r="J32" i="8"/>
  <c r="J31" i="8"/>
  <c r="J30" i="8"/>
  <c r="J29" i="8"/>
  <c r="J28" i="8"/>
  <c r="J27" i="8"/>
  <c r="D7" i="8" s="1"/>
  <c r="J26" i="8"/>
  <c r="J25" i="8"/>
  <c r="D6" i="20" l="1"/>
  <c r="C6" i="20"/>
  <c r="D10" i="20"/>
  <c r="C10" i="20"/>
  <c r="D12" i="20"/>
  <c r="C12" i="20"/>
  <c r="D8" i="20"/>
  <c r="C8" i="20"/>
  <c r="D5" i="20"/>
  <c r="C5" i="20"/>
  <c r="D7" i="20"/>
  <c r="C7" i="20"/>
  <c r="D9" i="20"/>
  <c r="C9" i="20"/>
  <c r="D11" i="20"/>
  <c r="C11" i="20"/>
  <c r="D13" i="20"/>
  <c r="C13" i="20"/>
  <c r="D9" i="8"/>
  <c r="C9" i="8"/>
  <c r="D11" i="8"/>
  <c r="C11" i="8"/>
  <c r="C13" i="8"/>
  <c r="D13" i="8"/>
  <c r="C10" i="8"/>
  <c r="D10" i="8"/>
  <c r="D12" i="8"/>
  <c r="C12" i="8"/>
  <c r="D8" i="8"/>
  <c r="D13" i="15"/>
  <c r="D11" i="15"/>
  <c r="D9" i="15"/>
  <c r="D5" i="14"/>
  <c r="E5" i="14"/>
  <c r="C5" i="14"/>
  <c r="D14" i="13"/>
  <c r="D13" i="13"/>
  <c r="D10" i="13"/>
  <c r="D8" i="13"/>
  <c r="E8" i="13"/>
  <c r="C14" i="13"/>
  <c r="C13" i="13"/>
  <c r="C12" i="13"/>
  <c r="D12" i="13" s="1"/>
  <c r="C11" i="13"/>
  <c r="E11" i="13" s="1"/>
  <c r="C10" i="13"/>
  <c r="C9" i="13"/>
  <c r="D9" i="13" s="1"/>
  <c r="C8" i="13"/>
  <c r="E14" i="13"/>
  <c r="E10" i="13"/>
  <c r="D5" i="13"/>
  <c r="E12" i="13" l="1"/>
  <c r="D11" i="13"/>
  <c r="E9" i="13"/>
  <c r="C13" i="4"/>
  <c r="C14" i="4"/>
  <c r="C11" i="4"/>
  <c r="C10" i="4"/>
  <c r="C9" i="4"/>
  <c r="C8" i="4"/>
  <c r="C7" i="4"/>
  <c r="C6" i="4"/>
  <c r="D13" i="11"/>
  <c r="J13" i="23" s="1"/>
  <c r="C14" i="11"/>
  <c r="J12" i="23"/>
  <c r="C11" i="11"/>
  <c r="C10" i="11"/>
  <c r="C8" i="11"/>
  <c r="C9" i="11"/>
  <c r="C6" i="11"/>
  <c r="D5" i="11"/>
  <c r="I12" i="23"/>
  <c r="K12" i="23"/>
  <c r="I13" i="23"/>
  <c r="K13" i="23"/>
  <c r="D5" i="12"/>
  <c r="E11" i="12"/>
  <c r="D11" i="12"/>
  <c r="E10" i="12"/>
  <c r="D10" i="12"/>
  <c r="E9" i="12"/>
  <c r="D9" i="12"/>
  <c r="E8" i="12"/>
  <c r="D8" i="12"/>
  <c r="E7" i="12"/>
  <c r="D7" i="12"/>
  <c r="E6" i="12"/>
  <c r="D6" i="12"/>
  <c r="C6" i="12"/>
  <c r="C11" i="12"/>
  <c r="C10" i="12"/>
  <c r="C9" i="12"/>
  <c r="C8" i="12"/>
  <c r="C7" i="12"/>
  <c r="C10" i="10"/>
  <c r="C8" i="10"/>
  <c r="C6" i="10"/>
  <c r="I27" i="10"/>
  <c r="G27" i="10"/>
  <c r="E27" i="10"/>
  <c r="C27" i="10"/>
  <c r="D5" i="10" s="1"/>
  <c r="D36" i="10"/>
  <c r="D14" i="10" s="1"/>
  <c r="D34" i="10"/>
  <c r="D12" i="10" s="1"/>
  <c r="D32" i="10"/>
  <c r="D10" i="10" s="1"/>
  <c r="D30" i="10"/>
  <c r="D8" i="10" s="1"/>
  <c r="D28" i="10"/>
  <c r="D6" i="10" s="1"/>
  <c r="E14" i="10" l="1"/>
  <c r="E76" i="23"/>
  <c r="D76" i="23"/>
  <c r="C76" i="23"/>
  <c r="E75" i="23"/>
  <c r="D75" i="23"/>
  <c r="C75" i="23"/>
  <c r="K70" i="23"/>
  <c r="J70" i="23"/>
  <c r="I70" i="23"/>
  <c r="K69" i="23"/>
  <c r="J69" i="23"/>
  <c r="I69" i="23"/>
  <c r="K68" i="23"/>
  <c r="J68" i="23"/>
  <c r="I68" i="23"/>
  <c r="K67" i="23"/>
  <c r="J67" i="23"/>
  <c r="I67" i="23"/>
  <c r="K66" i="23"/>
  <c r="J66" i="23"/>
  <c r="I66" i="23"/>
  <c r="K65" i="23"/>
  <c r="J65" i="23"/>
  <c r="I65" i="23"/>
  <c r="K64" i="23"/>
  <c r="J64" i="23"/>
  <c r="I64" i="23"/>
  <c r="K63" i="23"/>
  <c r="J63" i="23"/>
  <c r="I63" i="23"/>
  <c r="K62" i="23"/>
  <c r="J62" i="23"/>
  <c r="I62" i="23"/>
  <c r="H70" i="23"/>
  <c r="G70" i="23"/>
  <c r="F70" i="23"/>
  <c r="H69" i="23"/>
  <c r="G69" i="23"/>
  <c r="F69" i="23"/>
  <c r="H68" i="23"/>
  <c r="G68" i="23"/>
  <c r="F68" i="23"/>
  <c r="H67" i="23"/>
  <c r="G67" i="23"/>
  <c r="F67" i="23"/>
  <c r="H66" i="23"/>
  <c r="G66" i="23"/>
  <c r="F66" i="23"/>
  <c r="H65" i="23"/>
  <c r="G65" i="23"/>
  <c r="F65" i="23"/>
  <c r="H64" i="23"/>
  <c r="G64" i="23"/>
  <c r="F64" i="23"/>
  <c r="H63" i="23"/>
  <c r="G63" i="23"/>
  <c r="F63" i="23"/>
  <c r="H62" i="23"/>
  <c r="G62" i="23"/>
  <c r="F62" i="23"/>
  <c r="E70" i="23"/>
  <c r="D70" i="23"/>
  <c r="C70" i="23"/>
  <c r="E69" i="23"/>
  <c r="D69" i="23"/>
  <c r="C69" i="23"/>
  <c r="E68" i="23"/>
  <c r="D68" i="23"/>
  <c r="C68" i="23"/>
  <c r="E67" i="23"/>
  <c r="D67" i="23"/>
  <c r="C67" i="23"/>
  <c r="E66" i="23"/>
  <c r="D66" i="23"/>
  <c r="C66" i="23"/>
  <c r="E65" i="23"/>
  <c r="D65" i="23"/>
  <c r="C65" i="23"/>
  <c r="E64" i="23"/>
  <c r="D64" i="23"/>
  <c r="C64" i="23"/>
  <c r="E63" i="23"/>
  <c r="D63" i="23"/>
  <c r="C63" i="23"/>
  <c r="E62" i="23"/>
  <c r="D62" i="23"/>
  <c r="C62" i="23"/>
  <c r="H56" i="23"/>
  <c r="G56" i="23"/>
  <c r="F56" i="23"/>
  <c r="H55" i="23"/>
  <c r="G55" i="23"/>
  <c r="F55" i="23"/>
  <c r="H54" i="23"/>
  <c r="G54" i="23"/>
  <c r="F54" i="23"/>
  <c r="H53" i="23"/>
  <c r="G53" i="23"/>
  <c r="F53" i="23"/>
  <c r="H52" i="23"/>
  <c r="G52" i="23"/>
  <c r="F52" i="23"/>
  <c r="H51" i="23"/>
  <c r="G51" i="23"/>
  <c r="F51" i="23"/>
  <c r="H50" i="23"/>
  <c r="G50" i="23"/>
  <c r="F50" i="23"/>
  <c r="H49" i="23"/>
  <c r="G49" i="23"/>
  <c r="F49" i="23"/>
  <c r="H48" i="23"/>
  <c r="G48" i="23"/>
  <c r="F48" i="23"/>
  <c r="H47" i="23"/>
  <c r="G47" i="23"/>
  <c r="F47" i="23"/>
  <c r="E56" i="23"/>
  <c r="D56" i="23"/>
  <c r="C56" i="23"/>
  <c r="E55" i="23"/>
  <c r="D55" i="23"/>
  <c r="C55" i="23"/>
  <c r="E54" i="23"/>
  <c r="D54" i="23"/>
  <c r="C54" i="23"/>
  <c r="E53" i="23"/>
  <c r="D53" i="23"/>
  <c r="C53" i="23"/>
  <c r="E52" i="23"/>
  <c r="D52" i="23"/>
  <c r="C52" i="23"/>
  <c r="E51" i="23"/>
  <c r="D51" i="23"/>
  <c r="C51" i="23"/>
  <c r="E50" i="23"/>
  <c r="D50" i="23"/>
  <c r="C50" i="23"/>
  <c r="E49" i="23"/>
  <c r="D49" i="23"/>
  <c r="C49" i="23"/>
  <c r="E48" i="23"/>
  <c r="D48" i="23"/>
  <c r="C48" i="23"/>
  <c r="E47" i="23"/>
  <c r="D47" i="23"/>
  <c r="C47" i="23"/>
  <c r="E42" i="23"/>
  <c r="D42" i="23"/>
  <c r="C42" i="23"/>
  <c r="E41" i="23"/>
  <c r="D41" i="23"/>
  <c r="C41" i="23"/>
  <c r="E40" i="23"/>
  <c r="D40" i="23"/>
  <c r="C40" i="23"/>
  <c r="E39" i="23"/>
  <c r="D39" i="23"/>
  <c r="C39" i="23"/>
  <c r="E38" i="23"/>
  <c r="D38" i="23"/>
  <c r="C38" i="23"/>
  <c r="E37" i="23"/>
  <c r="D37" i="23"/>
  <c r="C37" i="23"/>
  <c r="E36" i="23"/>
  <c r="D36" i="23"/>
  <c r="C36" i="23"/>
  <c r="E35" i="23"/>
  <c r="D35" i="23"/>
  <c r="C35" i="23"/>
  <c r="E34" i="23"/>
  <c r="D34" i="23"/>
  <c r="C34" i="23"/>
  <c r="E33" i="23"/>
  <c r="D33" i="23"/>
  <c r="C33" i="23"/>
  <c r="K19" i="23"/>
  <c r="J19" i="23"/>
  <c r="H28" i="23"/>
  <c r="G28" i="23"/>
  <c r="F28" i="23"/>
  <c r="H27" i="23"/>
  <c r="G27" i="23"/>
  <c r="F27" i="23"/>
  <c r="H26" i="23"/>
  <c r="G26" i="23"/>
  <c r="F26" i="23"/>
  <c r="H25" i="23"/>
  <c r="G25" i="23"/>
  <c r="F25" i="23"/>
  <c r="H24" i="23"/>
  <c r="G24" i="23"/>
  <c r="F24" i="23"/>
  <c r="H23" i="23"/>
  <c r="G23" i="23"/>
  <c r="F23" i="23"/>
  <c r="H22" i="23"/>
  <c r="G22" i="23"/>
  <c r="F22" i="23"/>
  <c r="H21" i="23"/>
  <c r="G21" i="23"/>
  <c r="F21" i="23"/>
  <c r="H20" i="23"/>
  <c r="G20" i="23"/>
  <c r="F20" i="23"/>
  <c r="H19" i="23"/>
  <c r="G19" i="23"/>
  <c r="I19" i="23"/>
  <c r="F19" i="23"/>
  <c r="E28" i="23"/>
  <c r="D28" i="23"/>
  <c r="C28" i="23"/>
  <c r="E27" i="23"/>
  <c r="D27" i="23"/>
  <c r="C27" i="23"/>
  <c r="E26" i="23"/>
  <c r="D26" i="23"/>
  <c r="C26" i="23"/>
  <c r="E25" i="23"/>
  <c r="D25" i="23"/>
  <c r="C25" i="23"/>
  <c r="E24" i="23"/>
  <c r="D24" i="23"/>
  <c r="C24" i="23"/>
  <c r="E23" i="23"/>
  <c r="D23" i="23"/>
  <c r="C23" i="23"/>
  <c r="E22" i="23"/>
  <c r="D22" i="23"/>
  <c r="C22" i="23"/>
  <c r="E21" i="23"/>
  <c r="D21" i="23"/>
  <c r="C21" i="23"/>
  <c r="E20" i="23"/>
  <c r="D20" i="23"/>
  <c r="C20" i="23"/>
  <c r="E19" i="23"/>
  <c r="D19" i="23"/>
  <c r="C19" i="23"/>
  <c r="N11" i="23"/>
  <c r="M11" i="23"/>
  <c r="L11" i="23"/>
  <c r="N10" i="23"/>
  <c r="M10" i="23"/>
  <c r="L10" i="23"/>
  <c r="N9" i="23"/>
  <c r="M9" i="23"/>
  <c r="L9" i="23"/>
  <c r="N8" i="23"/>
  <c r="M8" i="23"/>
  <c r="L8" i="23"/>
  <c r="N7" i="23"/>
  <c r="M7" i="23"/>
  <c r="L7" i="23"/>
  <c r="N6" i="23"/>
  <c r="M6" i="23"/>
  <c r="L6" i="23"/>
  <c r="N5" i="23"/>
  <c r="M5" i="23"/>
  <c r="L5" i="23"/>
  <c r="K14" i="23"/>
  <c r="J14" i="23"/>
  <c r="I14" i="23"/>
  <c r="K11" i="23"/>
  <c r="J11" i="23"/>
  <c r="I11" i="23"/>
  <c r="K10" i="23"/>
  <c r="J10" i="23"/>
  <c r="I10" i="23"/>
  <c r="K9" i="23"/>
  <c r="J9" i="23"/>
  <c r="I9" i="23"/>
  <c r="K8" i="23"/>
  <c r="J8" i="23"/>
  <c r="I8" i="23"/>
  <c r="K7" i="23"/>
  <c r="J7" i="23"/>
  <c r="I7" i="23"/>
  <c r="K6" i="23"/>
  <c r="J6" i="23"/>
  <c r="I6" i="23"/>
  <c r="K5" i="23"/>
  <c r="J5" i="23"/>
  <c r="I5" i="23"/>
  <c r="H14" i="23"/>
  <c r="G14" i="23"/>
  <c r="F14" i="23"/>
  <c r="H13" i="23"/>
  <c r="G13" i="23"/>
  <c r="F13" i="23"/>
  <c r="H12" i="23"/>
  <c r="G12" i="23"/>
  <c r="F12" i="23"/>
  <c r="H11" i="23"/>
  <c r="G11" i="23"/>
  <c r="F11" i="23"/>
  <c r="H10" i="23"/>
  <c r="G10" i="23"/>
  <c r="F10" i="23"/>
  <c r="H9" i="23"/>
  <c r="G9" i="23"/>
  <c r="F9" i="23"/>
  <c r="H8" i="23"/>
  <c r="G8" i="23"/>
  <c r="F8" i="23"/>
  <c r="H7" i="23"/>
  <c r="G7" i="23"/>
  <c r="F7" i="23"/>
  <c r="H6" i="23"/>
  <c r="G6" i="23"/>
  <c r="F6" i="23"/>
  <c r="H5" i="23"/>
  <c r="G5" i="23"/>
  <c r="F5" i="23"/>
  <c r="E11" i="23"/>
  <c r="E10" i="23"/>
  <c r="E5" i="23"/>
  <c r="C5" i="23"/>
  <c r="D5" i="2"/>
  <c r="D5" i="23" s="1"/>
  <c r="D12" i="2" l="1"/>
  <c r="D12" i="23" s="1"/>
  <c r="D11" i="2"/>
  <c r="D11" i="23" s="1"/>
  <c r="D10" i="2"/>
  <c r="D10" i="23" s="1"/>
  <c r="D8" i="2"/>
  <c r="D8" i="23" s="1"/>
  <c r="E14" i="2"/>
  <c r="E14" i="23" s="1"/>
  <c r="E12" i="2"/>
  <c r="E12" i="23" s="1"/>
  <c r="E9" i="2"/>
  <c r="E9" i="23" s="1"/>
  <c r="E8" i="2"/>
  <c r="E8" i="23" s="1"/>
  <c r="E7" i="2"/>
  <c r="E7" i="23" s="1"/>
  <c r="C14" i="2"/>
  <c r="C13" i="2"/>
  <c r="C13" i="23" s="1"/>
  <c r="C12" i="2"/>
  <c r="C12" i="23" s="1"/>
  <c r="C11" i="2"/>
  <c r="C11" i="23" s="1"/>
  <c r="C10" i="2"/>
  <c r="C10" i="23" s="1"/>
  <c r="C9" i="2"/>
  <c r="C8" i="2"/>
  <c r="C8" i="23" s="1"/>
  <c r="C7" i="2"/>
  <c r="E6" i="2"/>
  <c r="E6" i="23" s="1"/>
  <c r="C6" i="2"/>
  <c r="C6" i="23" s="1"/>
  <c r="F35" i="2"/>
  <c r="E13" i="2" s="1"/>
  <c r="E13" i="23" s="1"/>
  <c r="F23" i="2"/>
  <c r="D14" i="2" l="1"/>
  <c r="D14" i="23" s="1"/>
  <c r="C14" i="23"/>
  <c r="D7" i="2"/>
  <c r="D7" i="23" s="1"/>
  <c r="C7" i="23"/>
  <c r="D9" i="2"/>
  <c r="D9" i="23" s="1"/>
  <c r="C9" i="23"/>
  <c r="D6" i="2"/>
  <c r="D6" i="23" s="1"/>
  <c r="D13" i="2"/>
  <c r="D13" i="23" s="1"/>
</calcChain>
</file>

<file path=xl/comments1.xml><?xml version="1.0" encoding="utf-8"?>
<comments xmlns="http://schemas.openxmlformats.org/spreadsheetml/2006/main">
  <authors>
    <author>Mary Livingstone</author>
  </authors>
  <commentList>
    <comment ref="C28" authorId="0">
      <text>
        <r>
          <rPr>
            <b/>
            <sz val="9"/>
            <color indexed="81"/>
            <rFont val="Tahoma"/>
            <family val="2"/>
          </rPr>
          <t>Mary Livingstone:</t>
        </r>
        <r>
          <rPr>
            <sz val="9"/>
            <color indexed="81"/>
            <rFont val="Tahoma"/>
            <family val="2"/>
          </rPr>
          <t xml:space="preserve">
Not included in summary as per sqm not per flat.</t>
        </r>
      </text>
    </comment>
  </commentList>
</comments>
</file>

<file path=xl/comments2.xml><?xml version="1.0" encoding="utf-8"?>
<comments xmlns="http://schemas.openxmlformats.org/spreadsheetml/2006/main">
  <authors>
    <author>Mary Livingstone</author>
  </authors>
  <commentList>
    <comment ref="E32" authorId="0">
      <text>
        <r>
          <rPr>
            <b/>
            <sz val="9"/>
            <color indexed="81"/>
            <rFont val="Tahoma"/>
            <family val="2"/>
          </rPr>
          <t>Mary Livingstone:</t>
        </r>
        <r>
          <rPr>
            <sz val="9"/>
            <color indexed="81"/>
            <rFont val="Tahoma"/>
            <family val="2"/>
          </rPr>
          <t xml:space="preserve">
not included mineral wool figure at present</t>
        </r>
      </text>
    </comment>
  </commentList>
</comments>
</file>

<file path=xl/comments3.xml><?xml version="1.0" encoding="utf-8"?>
<comments xmlns="http://schemas.openxmlformats.org/spreadsheetml/2006/main">
  <authors>
    <author>Mary Livingstone</author>
  </authors>
  <commentList>
    <comment ref="D39" authorId="0">
      <text>
        <r>
          <rPr>
            <b/>
            <sz val="9"/>
            <color indexed="81"/>
            <rFont val="Tahoma"/>
            <family val="2"/>
          </rPr>
          <t>Mary Livingstone:</t>
        </r>
        <r>
          <rPr>
            <sz val="9"/>
            <color indexed="81"/>
            <rFont val="Tahoma"/>
            <family val="2"/>
          </rPr>
          <t xml:space="preserve">
These figures  higher than others provided.</t>
        </r>
      </text>
    </comment>
  </commentList>
</comments>
</file>

<file path=xl/comments4.xml><?xml version="1.0" encoding="utf-8"?>
<comments xmlns="http://schemas.openxmlformats.org/spreadsheetml/2006/main">
  <authors>
    <author>Mary Livingstone</author>
  </authors>
  <commentList>
    <comment ref="C39" authorId="0">
      <text>
        <r>
          <rPr>
            <b/>
            <sz val="9"/>
            <color indexed="81"/>
            <rFont val="Tahoma"/>
            <family val="2"/>
          </rPr>
          <t>Mary Livingstone:</t>
        </r>
        <r>
          <rPr>
            <sz val="9"/>
            <color indexed="81"/>
            <rFont val="Tahoma"/>
            <family val="2"/>
          </rPr>
          <t xml:space="preserve">
Costs based on EPS</t>
        </r>
      </text>
    </comment>
  </commentList>
</comments>
</file>

<file path=xl/comments5.xml><?xml version="1.0" encoding="utf-8"?>
<comments xmlns="http://schemas.openxmlformats.org/spreadsheetml/2006/main">
  <authors>
    <author>Mary Livingstone</author>
  </authors>
  <commentList>
    <comment ref="F26" authorId="0">
      <text>
        <r>
          <rPr>
            <b/>
            <sz val="9"/>
            <color indexed="81"/>
            <rFont val="Tahoma"/>
            <family val="2"/>
          </rPr>
          <t>Mary Livingstone:</t>
        </r>
        <r>
          <rPr>
            <sz val="9"/>
            <color indexed="81"/>
            <rFont val="Tahoma"/>
            <family val="2"/>
          </rPr>
          <t xml:space="preserve">
Excluded as outlier - relies on being able to fit from a cellar.</t>
        </r>
      </text>
    </comment>
  </commentList>
</comments>
</file>

<file path=xl/comments6.xml><?xml version="1.0" encoding="utf-8"?>
<comments xmlns="http://schemas.openxmlformats.org/spreadsheetml/2006/main">
  <authors>
    <author>Mary Livingstone</author>
  </authors>
  <commentList>
    <comment ref="D32" authorId="0">
      <text>
        <r>
          <rPr>
            <b/>
            <sz val="9"/>
            <color indexed="81"/>
            <rFont val="Tahoma"/>
            <family val="2"/>
          </rPr>
          <t>Mary Livingstone:</t>
        </r>
        <r>
          <rPr>
            <sz val="9"/>
            <color indexed="81"/>
            <rFont val="Tahoma"/>
            <family val="2"/>
          </rPr>
          <t xml:space="preserve">
given as min. cost but used as 'high' cost in table as max. value given - ok?</t>
        </r>
      </text>
    </comment>
    <comment ref="I34" authorId="0">
      <text>
        <r>
          <rPr>
            <b/>
            <sz val="9"/>
            <color indexed="81"/>
            <rFont val="Tahoma"/>
            <family val="2"/>
          </rPr>
          <t>Mary Livingstone:</t>
        </r>
        <r>
          <rPr>
            <sz val="9"/>
            <color indexed="81"/>
            <rFont val="Tahoma"/>
            <family val="2"/>
          </rPr>
          <t xml:space="preserve">
excluded from averaging used to calculate 'medium' cost, as stated as minimum cost</t>
        </r>
      </text>
    </comment>
  </commentList>
</comments>
</file>

<file path=xl/comments7.xml><?xml version="1.0" encoding="utf-8"?>
<comments xmlns="http://schemas.openxmlformats.org/spreadsheetml/2006/main">
  <authors>
    <author>Mary Livingstone</author>
  </authors>
  <commentList>
    <comment ref="E34" authorId="0">
      <text>
        <r>
          <rPr>
            <b/>
            <sz val="9"/>
            <color indexed="81"/>
            <rFont val="Tahoma"/>
            <family val="2"/>
          </rPr>
          <t>Mary Livingstone:</t>
        </r>
        <r>
          <rPr>
            <sz val="9"/>
            <color indexed="81"/>
            <rFont val="Tahoma"/>
            <family val="2"/>
          </rPr>
          <t xml:space="preserve">
Note large difference between 2 estimates</t>
        </r>
      </text>
    </comment>
  </commentList>
</comments>
</file>

<file path=xl/comments8.xml><?xml version="1.0" encoding="utf-8"?>
<comments xmlns="http://schemas.openxmlformats.org/spreadsheetml/2006/main">
  <authors>
    <author>Mary Livingstone</author>
  </authors>
  <commentList>
    <comment ref="F22" authorId="0">
      <text>
        <r>
          <rPr>
            <b/>
            <sz val="9"/>
            <color indexed="81"/>
            <rFont val="Tahoma"/>
            <family val="2"/>
          </rPr>
          <t>Mary Livingstone:</t>
        </r>
        <r>
          <rPr>
            <sz val="9"/>
            <color indexed="81"/>
            <rFont val="Tahoma"/>
            <family val="2"/>
          </rPr>
          <t xml:space="preserve">
not included as radiator numbers not given</t>
        </r>
      </text>
    </comment>
  </commentList>
</comments>
</file>

<file path=xl/sharedStrings.xml><?xml version="1.0" encoding="utf-8"?>
<sst xmlns="http://schemas.openxmlformats.org/spreadsheetml/2006/main" count="2867" uniqueCount="810">
  <si>
    <t>Internal Wall Insulation</t>
  </si>
  <si>
    <t>Project location</t>
  </si>
  <si>
    <t>Total cost (materials + labour) for a specific project</t>
  </si>
  <si>
    <t>Cost per housetype</t>
  </si>
  <si>
    <t>External Wall Insulation</t>
  </si>
  <si>
    <t>Cavity Wall Insulation</t>
  </si>
  <si>
    <t>Party Cavity Wall Insulation</t>
  </si>
  <si>
    <t>Loft Insulation (Joists)</t>
  </si>
  <si>
    <t>Loft Insulation (Rafters)</t>
  </si>
  <si>
    <t>Flat Roof Insulation</t>
  </si>
  <si>
    <t>Underfloor Insulation</t>
  </si>
  <si>
    <t>Draught-Proofing</t>
  </si>
  <si>
    <t>Replacement Double Glazing (panes and frames)</t>
  </si>
  <si>
    <t>No. and type of homes in project</t>
  </si>
  <si>
    <t>Secondary Glazing</t>
  </si>
  <si>
    <t>LEDs</t>
  </si>
  <si>
    <t>Gas Boiler Replacement</t>
  </si>
  <si>
    <t>Oil Boiler Replacement</t>
  </si>
  <si>
    <t>Hot Water Cylinder Insulation (Jacket)</t>
  </si>
  <si>
    <t>Wall Insulation</t>
  </si>
  <si>
    <t>Glazing</t>
  </si>
  <si>
    <t>Heating</t>
  </si>
  <si>
    <t>Project:</t>
  </si>
  <si>
    <t>Date:</t>
  </si>
  <si>
    <t>DECC Domestic Retrofit Cost Assumptions Study</t>
  </si>
  <si>
    <t>Version:</t>
  </si>
  <si>
    <t>Organisation</t>
  </si>
  <si>
    <t>Reliability rating (1-5, with 5 being most reliable)</t>
  </si>
  <si>
    <t>Low</t>
  </si>
  <si>
    <t>High</t>
  </si>
  <si>
    <t>Medium</t>
  </si>
  <si>
    <t>Cost Efficiencies at Scale</t>
  </si>
  <si>
    <t>Cost Adjustment Factors</t>
  </si>
  <si>
    <t>COST SUMMARY TABLE</t>
  </si>
  <si>
    <t>No. of homes contributing to cost estimates</t>
  </si>
  <si>
    <t>Company Size</t>
  </si>
  <si>
    <t>Company Specialisms</t>
  </si>
  <si>
    <t>Company main sectors (e.g. social housing, private owned, private rented)</t>
  </si>
  <si>
    <t>Significant factors affecting cost data (e.g. scale of work, regional location)</t>
  </si>
  <si>
    <t>Small flat (&lt;54m²)</t>
  </si>
  <si>
    <t>Large flat (&gt;54m²)</t>
  </si>
  <si>
    <t>Small mid-terrace house (&lt;76m²)</t>
  </si>
  <si>
    <t>Large mid-terrace house (&gt;76m²)</t>
  </si>
  <si>
    <t>Small detached house (&lt;117m²)</t>
  </si>
  <si>
    <t>Large detached house (&gt;117m²)</t>
  </si>
  <si>
    <t>Bungalow (around 117m²)</t>
  </si>
  <si>
    <r>
      <t>Cost per m</t>
    </r>
    <r>
      <rPr>
        <sz val="11"/>
        <color theme="1"/>
        <rFont val="Calibri"/>
        <family val="2"/>
      </rPr>
      <t>²</t>
    </r>
    <r>
      <rPr>
        <sz val="11"/>
        <color theme="1"/>
        <rFont val="Calibri"/>
        <family val="2"/>
        <scheme val="minor"/>
      </rPr>
      <t xml:space="preserve"> wall area (materials + labour)</t>
    </r>
  </si>
  <si>
    <r>
      <t>Cost per m</t>
    </r>
    <r>
      <rPr>
        <sz val="11"/>
        <color indexed="8"/>
        <rFont val="Calibri"/>
        <family val="2"/>
      </rPr>
      <t>²</t>
    </r>
    <r>
      <rPr>
        <sz val="11"/>
        <color indexed="8"/>
        <rFont val="Calibri"/>
        <family val="2"/>
        <scheme val="minor"/>
      </rPr>
      <t xml:space="preserve"> window area (materials + labour)</t>
    </r>
  </si>
  <si>
    <r>
      <t>Cost per m</t>
    </r>
    <r>
      <rPr>
        <sz val="11"/>
        <color indexed="8"/>
        <rFont val="Calibri"/>
        <family val="2"/>
      </rPr>
      <t>²</t>
    </r>
    <r>
      <rPr>
        <sz val="11"/>
        <color indexed="8"/>
        <rFont val="Calibri"/>
        <family val="2"/>
        <scheme val="minor"/>
      </rPr>
      <t xml:space="preserve"> roof area (materials + labour)</t>
    </r>
  </si>
  <si>
    <t>COSTS BY ORGANISATION</t>
  </si>
  <si>
    <t>IWI</t>
  </si>
  <si>
    <t>EWI</t>
  </si>
  <si>
    <t>CWI</t>
  </si>
  <si>
    <t>Gas</t>
  </si>
  <si>
    <t>Oil</t>
  </si>
  <si>
    <t>LED</t>
  </si>
  <si>
    <t>DP</t>
  </si>
  <si>
    <t>Roof Insulation</t>
  </si>
  <si>
    <t>Floor Insulation</t>
  </si>
  <si>
    <t>MEASURE</t>
  </si>
  <si>
    <t>WORKSHEET</t>
  </si>
  <si>
    <t>CH</t>
  </si>
  <si>
    <t>HWC</t>
  </si>
  <si>
    <t>F1</t>
  </si>
  <si>
    <t>R1</t>
  </si>
  <si>
    <t>R2</t>
  </si>
  <si>
    <t>R3</t>
  </si>
  <si>
    <t>INTERNAL WALL INSULATION</t>
  </si>
  <si>
    <t>Alternative ways of splitting the costs</t>
  </si>
  <si>
    <t>Costs at scale (e.g. &gt;=10 homes)</t>
  </si>
  <si>
    <t>Special considerations affecting costs, impact</t>
  </si>
  <si>
    <t>Change of cost of work since 2000 (as %)</t>
  </si>
  <si>
    <t>Confirmation the figures above are the whole cost, with no additional costs? VAT included or excluded?</t>
  </si>
  <si>
    <t>Regional variations in costs (as %)</t>
  </si>
  <si>
    <t>Other comments</t>
  </si>
  <si>
    <t>EXTERNAL WALL INSULATION</t>
  </si>
  <si>
    <t>CAVITY WALL INSULATION</t>
  </si>
  <si>
    <t>PWI</t>
  </si>
  <si>
    <t>PARTY CAVITY WALL INSULATION</t>
  </si>
  <si>
    <t>Costs of different insulation types (e.g. foam, beads, mineral wool)</t>
  </si>
  <si>
    <t>LOFT INSULATION - JOISTS</t>
  </si>
  <si>
    <t>LOFT INSULATION - RAFTERS</t>
  </si>
  <si>
    <t>FLAT ROOF INSULATION</t>
  </si>
  <si>
    <t>Gas Central Heating Installation</t>
  </si>
  <si>
    <t>UNDER FLOOR INSULATION</t>
  </si>
  <si>
    <r>
      <t>Cost per m</t>
    </r>
    <r>
      <rPr>
        <sz val="11"/>
        <color indexed="8"/>
        <rFont val="Calibri"/>
        <family val="2"/>
      </rPr>
      <t>²</t>
    </r>
    <r>
      <rPr>
        <sz val="11"/>
        <color indexed="8"/>
        <rFont val="Calibri"/>
        <family val="2"/>
        <scheme val="minor"/>
      </rPr>
      <t xml:space="preserve"> floor area (materials + labour)</t>
    </r>
  </si>
  <si>
    <r>
      <t>Cost per m</t>
    </r>
    <r>
      <rPr>
        <sz val="11"/>
        <color theme="1"/>
        <rFont val="Calibri"/>
        <family val="2"/>
      </rPr>
      <t>²</t>
    </r>
    <r>
      <rPr>
        <sz val="11"/>
        <color theme="1"/>
        <rFont val="Calibri"/>
        <family val="2"/>
        <scheme val="minor"/>
      </rPr>
      <t xml:space="preserve"> window area (materials + labour)</t>
    </r>
  </si>
  <si>
    <t>DOUBLE GLAZING - PANES AND FRAMES</t>
  </si>
  <si>
    <t>SECONDARY GLAZING</t>
  </si>
  <si>
    <t>GAS BOILER REPLACEMENT</t>
  </si>
  <si>
    <t>OIL BOILER REPLACEMENT</t>
  </si>
  <si>
    <t>GAS CENTRAL HEATING INSTALLATION</t>
  </si>
  <si>
    <t>HOT WATER CYLINDER INSULATION (JACKET)</t>
  </si>
  <si>
    <t>DRAUGHT-PROOFING</t>
  </si>
  <si>
    <t>Note on inclusions/exclusions:</t>
  </si>
  <si>
    <t>OVERALL COST SUMMARY TABLES</t>
  </si>
  <si>
    <t>Cost per m² element area (materials + labour)</t>
  </si>
  <si>
    <t>Small semi-detached or end-of-terrace (&lt;80m²)</t>
  </si>
  <si>
    <t>Large semi-detached or end terrace (&gt;80m²)</t>
  </si>
  <si>
    <t>1000s in total</t>
  </si>
  <si>
    <t>Various</t>
  </si>
  <si>
    <t>London</t>
  </si>
  <si>
    <t>£80-90</t>
  </si>
  <si>
    <t>£60-120 (suggests 100) - for basic system</t>
  </si>
  <si>
    <t>£8000-9000</t>
  </si>
  <si>
    <t>One offs</t>
  </si>
  <si>
    <t>North Yorkshire</t>
  </si>
  <si>
    <t>£7000+</t>
  </si>
  <si>
    <t>-</t>
  </si>
  <si>
    <t>£120-130</t>
  </si>
  <si>
    <t>Somerset</t>
  </si>
  <si>
    <t>Omitted - front elevation only (£3,254)</t>
  </si>
  <si>
    <t>£60-70</t>
  </si>
  <si>
    <t>London / SE</t>
  </si>
  <si>
    <t>If occupants are present this increases costs.</t>
  </si>
  <si>
    <t>Region</t>
  </si>
  <si>
    <t>Private rented (though majority of work new build)</t>
  </si>
  <si>
    <t>Includes reveals, skirtings, plastering, but not decorating.</t>
  </si>
  <si>
    <t>£9500+</t>
  </si>
  <si>
    <t>Warwickshire</t>
  </si>
  <si>
    <t>£10,400 (3 bed end-terrace)</t>
  </si>
  <si>
    <t>£120-140</t>
  </si>
  <si>
    <t>£20-30 (cost to company only - not clear what this is)</t>
  </si>
  <si>
    <t>Thousands in total, though majority of interviewees appear to work at small scale and base costs on one-off installations</t>
  </si>
  <si>
    <t>No. of Interviewees (excl. outliers)</t>
  </si>
  <si>
    <r>
      <t>One interviewee suggested saving of £5-10/m</t>
    </r>
    <r>
      <rPr>
        <sz val="11"/>
        <color theme="1"/>
        <rFont val="Calibri"/>
        <family val="2"/>
      </rPr>
      <t>²</t>
    </r>
  </si>
  <si>
    <t>Large</t>
  </si>
  <si>
    <r>
      <t>20% higher £/m</t>
    </r>
    <r>
      <rPr>
        <sz val="11"/>
        <color theme="1"/>
        <rFont val="Calibri"/>
        <family val="2"/>
      </rPr>
      <t>²</t>
    </r>
    <r>
      <rPr>
        <sz val="11"/>
        <color theme="1"/>
        <rFont val="Calibri"/>
        <family val="2"/>
        <scheme val="minor"/>
      </rPr>
      <t xml:space="preserve"> in SE</t>
    </r>
  </si>
  <si>
    <r>
      <t>Low rise: £100/m²
High rise: £120-130/m</t>
    </r>
    <r>
      <rPr>
        <sz val="11"/>
        <color theme="1"/>
        <rFont val="Calibri"/>
        <family val="2"/>
      </rPr>
      <t>²</t>
    </r>
  </si>
  <si>
    <t>Around £1,000 for scaffolding, plus variable cost (get a saving on larger homes), around £90/m² for a semi-detached house.</t>
  </si>
  <si>
    <t>Large variations between projects.
Satellite dish: add £150
Moving phone cables: possibly £100-150</t>
  </si>
  <si>
    <t>See below</t>
  </si>
  <si>
    <r>
      <t>Maybe £5-10/m</t>
    </r>
    <r>
      <rPr>
        <sz val="11"/>
        <color theme="1"/>
        <rFont val="Calibri"/>
        <family val="2"/>
      </rPr>
      <t>²</t>
    </r>
    <r>
      <rPr>
        <sz val="11"/>
        <color theme="1"/>
        <rFont val="Calibri"/>
        <family val="2"/>
        <scheme val="minor"/>
      </rPr>
      <t xml:space="preserve"> saving, due to transport and labour savings</t>
    </r>
  </si>
  <si>
    <t>£15-20/m² saving, due to transport and labour savings (team working, having team work on other parts of site during drying times).</t>
  </si>
  <si>
    <t>Hard to compare as no approved systems in 2000</t>
  </si>
  <si>
    <t>No longer works in IWI market as market changed.  Risk profile varied due to variation between properties. Full surveys required.</t>
  </si>
  <si>
    <t>Includes basic system over substrate,  plasterboard and skim finish, decoration.</t>
  </si>
  <si>
    <t>Around 20% higher in SE
Exposure to wind and rain affects system design and cost.</t>
  </si>
  <si>
    <r>
      <t>Replacing kitchen or bathroom fittings: very significant impact.
Moving sockets (especially in kitchens, and mid-terraces): less significant, and not too difficult if electrics are modern (likely to be in social housing) but difficult if old (more likely in owner occupied).
Moving radiators: not too difficult.
System type required: may depend on exposure to wind/rain, breathability of existing render, thickness required (solutions for small rooms include Aerogels, at around £200/m</t>
    </r>
    <r>
      <rPr>
        <sz val="11"/>
        <color theme="1"/>
        <rFont val="Calibri"/>
        <family val="2"/>
      </rPr>
      <t>²</t>
    </r>
    <r>
      <rPr>
        <sz val="11"/>
        <color theme="1"/>
        <rFont val="Calibri"/>
        <family val="2"/>
        <scheme val="minor"/>
      </rPr>
      <t xml:space="preserve"> for product alone).
</t>
    </r>
  </si>
  <si>
    <t>Majority of cost is labour (£60-100/m²), rest materials (£20-25/m²).</t>
  </si>
  <si>
    <t>Region, small scale</t>
  </si>
  <si>
    <t>Small scale</t>
  </si>
  <si>
    <t>Smaller</t>
  </si>
  <si>
    <t>Private owned</t>
  </si>
  <si>
    <t>Amount of prepration work and reinstating work required: including bathrooms and kitchens fittings and tiling. Reduced if other work is being done at same time.  Extruding cills, light fittings, coving.
A difficult install could be double the cost of an easy one.</t>
  </si>
  <si>
    <t>Berkshire, but work nationwide.</t>
  </si>
  <si>
    <t>Private</t>
  </si>
  <si>
    <t>Medium?</t>
  </si>
  <si>
    <t>Includes prelims and reinstating works, not decorating.</t>
  </si>
  <si>
    <t>Enabling/reinstating works: e.g. flues, electrics, plumbing, skirting.
Adding ventilation provision: for example, passive vent system at around £900.</t>
  </si>
  <si>
    <t>Not much overall. Company's labour costs have reduced with experience, but this is company-specific.</t>
  </si>
  <si>
    <t>Small scale, materials</t>
  </si>
  <si>
    <t>£21,927 (but also notes most jobs are within a £4,000 - £12,000 range)</t>
  </si>
  <si>
    <t>Costs for specific project above were based on a complicated project: a large farmhouse involving moving/replacing lots of fittings, and some extras.</t>
  </si>
  <si>
    <t>Not really changed - just cost of materials (not quantified). Note however company not working in area in 2000.</t>
  </si>
  <si>
    <t>Company has halved materials costs (not clear over what period) since stopping using approved systems. Note however company not working in area in 2000.</t>
  </si>
  <si>
    <t>Lemington, works in Midlands</t>
  </si>
  <si>
    <t>Insulation: IWI and EWI</t>
  </si>
  <si>
    <t>Insulation: IWI, EWI, CWI, R, F, G. Gas, Renewables.
Works with preferred installers.</t>
  </si>
  <si>
    <t>Insulation: IWI, EWI, CWI, R. Renewables too. IWI and EWI for last 4 years.</t>
  </si>
  <si>
    <t>Insulation: IWI, EWI, CWI, R, G. Boilers, Renewables.
Worked in area for over 30 years.</t>
  </si>
  <si>
    <t>Insulation: IWI, EWI, G, doors. Focus on breathable products. Worked in area for nearly 10 years.</t>
  </si>
  <si>
    <t>Company uses Celotex.</t>
  </si>
  <si>
    <t>Moving fittings, electrics and radiators increases costs, but most of company's jobs are as part of renovation projects so these do not apply.</t>
  </si>
  <si>
    <t>Costs exclude moving plumbing or electrics.</t>
  </si>
  <si>
    <t>Kent, works in SE</t>
  </si>
  <si>
    <t>Materials costs increased significantly due to need to use approved systems (cannot quantify). Labour costs increased by about 20% but company tries to absorb these increases.</t>
  </si>
  <si>
    <t>Some IWI, EWI, R. Solar.
Worked in area for about 10 years.</t>
  </si>
  <si>
    <t>Small - Medium?</t>
  </si>
  <si>
    <t>£70+ (£70 is min. starting cost, and includes window area)</t>
  </si>
  <si>
    <r>
      <t>Very variable: moving plumbing, electrics, kitchen and bathroom fittings. Window reveal detailing.
Hard to quantify as so variable: difficult job would add on significant percentage to min. price of £70/m</t>
    </r>
    <r>
      <rPr>
        <sz val="11"/>
        <color theme="1"/>
        <rFont val="Calibri"/>
        <family val="2"/>
      </rPr>
      <t>²</t>
    </r>
    <r>
      <rPr>
        <sz val="11"/>
        <color theme="1"/>
        <rFont val="Calibri"/>
        <family val="2"/>
        <scheme val="minor"/>
      </rPr>
      <t xml:space="preserve"> though not as much as double.</t>
    </r>
  </si>
  <si>
    <t>£6,000 - £8,000 (3 bed semi)</t>
  </si>
  <si>
    <t>Excluded as stated minimum cost.</t>
  </si>
  <si>
    <t>8 (1 of which provided minimum figures only)</t>
  </si>
  <si>
    <t>IWI, plastering.</t>
  </si>
  <si>
    <t>Company uses Celotex PL4000 75mm.
Initial costs are considerable even for smaller jobs - costs of different trades (electricians, plumbers, plasterers) and products.</t>
  </si>
  <si>
    <t>£55-60</t>
  </si>
  <si>
    <r>
      <t>Cost per m</t>
    </r>
    <r>
      <rPr>
        <sz val="11"/>
        <color theme="1"/>
        <rFont val="Calibri"/>
        <family val="2"/>
      </rPr>
      <t>²</t>
    </r>
    <r>
      <rPr>
        <sz val="11"/>
        <color theme="1"/>
        <rFont val="Calibri"/>
        <family val="2"/>
        <scheme val="minor"/>
      </rPr>
      <t xml:space="preserve"> excludes electrics, plumbing. Includes plaster, making good including cills, architraves, skirting. Plumbers and electricians costs would add around £800-900. Number and type of windows affects costs, as do number of sockets and light fittings needing moving, floor coverings and detailing at windows, coving, cornicing etc. adds costs. Access issues would add cost. If remedial work to existing plaster is required this would add more. </t>
    </r>
  </si>
  <si>
    <t>Insulation: IWI, EWI, R, F, G.
Focus on breathable products. Worked in area for nearly 10 years.</t>
  </si>
  <si>
    <t>Extensions and conversions as well as retrofit.</t>
  </si>
  <si>
    <t>Company does not work on small flats as has found there is no profit in such jobs.
Full surveys required for costing.</t>
  </si>
  <si>
    <t>Material type affects costs: using breathable product increases costs.
Needing to deal with damp/water ingress increases costs.</t>
  </si>
  <si>
    <t>WALLS</t>
  </si>
  <si>
    <t>ROOFS</t>
  </si>
  <si>
    <t>FLOORS</t>
  </si>
  <si>
    <t>GLAZING</t>
  </si>
  <si>
    <t>IWI - Internal Wall Insulation</t>
  </si>
  <si>
    <t>EWI - External Wall Insulation</t>
  </si>
  <si>
    <t>CWI - Cavity Wall Insulation</t>
  </si>
  <si>
    <t>PWI - Party Wall Insulation</t>
  </si>
  <si>
    <t>R1 - Loft Insulation (Joists)</t>
  </si>
  <si>
    <t>R2 - Loft Insulation (Rafters)</t>
  </si>
  <si>
    <t>R3 - Flat Roof Insulation</t>
  </si>
  <si>
    <t>F1 - Underfloor Insulation</t>
  </si>
  <si>
    <t>G1 - Double Glazing</t>
  </si>
  <si>
    <t>G3 - Secondary Glazing</t>
  </si>
  <si>
    <t>HEATING</t>
  </si>
  <si>
    <t>Cost per bulb</t>
  </si>
  <si>
    <t>Cost per jacket</t>
  </si>
  <si>
    <t>Kent</t>
  </si>
  <si>
    <t xml:space="preserve">Individual surveys needed. </t>
  </si>
  <si>
    <t>Fixed plus variable costs only work at scale where the construction is the same and architypes are similar. All other costings need to be done on an individual survey basis.</t>
  </si>
  <si>
    <t xml:space="preserve">Large variations in costs but wouldn't usually expect major additional costs over those provided. </t>
  </si>
  <si>
    <t>Costs include scaffolding, enabling works, prelims.</t>
  </si>
  <si>
    <t>Very little overall: maybe 5% increase. Material costs have gone down; labour costs up; scaffold access, prelims and enabling works have increased by approximately 20%.</t>
  </si>
  <si>
    <t>Small-Medium</t>
  </si>
  <si>
    <t>Surrey, works in London/SE</t>
  </si>
  <si>
    <t>£125-£150</t>
  </si>
  <si>
    <r>
      <t>Costs are based on a basic per m</t>
    </r>
    <r>
      <rPr>
        <sz val="11"/>
        <color theme="1"/>
        <rFont val="Calibri"/>
        <family val="2"/>
      </rPr>
      <t>²</t>
    </r>
    <r>
      <rPr>
        <sz val="11"/>
        <color theme="1"/>
        <rFont val="Calibri"/>
        <family val="2"/>
        <scheme val="minor"/>
      </rPr>
      <t xml:space="preserve"> price that includes materials, installation, scaffold and other factors.</t>
    </r>
  </si>
  <si>
    <t>Thought there would be economies particularly if supply chain close to site, but not got much experience of work at scale.</t>
  </si>
  <si>
    <t>EWI, some IWI and R.
Worked in area for 4 years.</t>
  </si>
  <si>
    <t>Prices have increased gradually in last 4 years mainly due to labour cost increases of about 10% in total.</t>
  </si>
  <si>
    <t>Various, also non-domestic</t>
  </si>
  <si>
    <t>Private.
Also commercial.</t>
  </si>
  <si>
    <t>Social.
Also commercial.</t>
  </si>
  <si>
    <t>EWI.
Over 15 years experience in this area.</t>
  </si>
  <si>
    <t>Company is based in Derbyshire</t>
  </si>
  <si>
    <t>Not worked on flats.</t>
  </si>
  <si>
    <t>Not stated, works at small scale.</t>
  </si>
  <si>
    <t>Stated that there are no economies of scale, but note that the company has not worked on flats.</t>
  </si>
  <si>
    <t>£7,000 - £8,000</t>
  </si>
  <si>
    <t>£8,000 - £9,000</t>
  </si>
  <si>
    <t>Up to £10,000</t>
  </si>
  <si>
    <t>Up to £12,000</t>
  </si>
  <si>
    <t>Up to £20,000</t>
  </si>
  <si>
    <t>£10,000 - £11,000</t>
  </si>
  <si>
    <t>Notes variability of costs, need for survey.</t>
  </si>
  <si>
    <t>Requirement to move power or telephone cables.</t>
  </si>
  <si>
    <t>Not much change - gone up slightly.</t>
  </si>
  <si>
    <t>Social housing.
Also commercial.</t>
  </si>
  <si>
    <t>Not stated, works mainly at larger scale.</t>
  </si>
  <si>
    <t>Company works nationwide</t>
  </si>
  <si>
    <t>£90-£150</t>
  </si>
  <si>
    <t>Estimated saving of 5-10% for schemes over 10 units compared to one-offs.
Savings mainly in prelim and labour costs.</t>
  </si>
  <si>
    <t>£8,000 - £10,000</t>
  </si>
  <si>
    <t>£12,000+</t>
  </si>
  <si>
    <t>£100+</t>
  </si>
  <si>
    <r>
      <t>Average costs per m</t>
    </r>
    <r>
      <rPr>
        <sz val="11"/>
        <color theme="1"/>
        <rFont val="Calibri"/>
        <family val="2"/>
      </rPr>
      <t>²</t>
    </r>
  </si>
  <si>
    <r>
      <t>They start with a minimum cost per m</t>
    </r>
    <r>
      <rPr>
        <sz val="11"/>
        <color theme="1"/>
        <rFont val="Calibri"/>
        <family val="2"/>
      </rPr>
      <t>²</t>
    </r>
    <r>
      <rPr>
        <sz val="11"/>
        <color theme="1"/>
        <rFont val="Calibri"/>
        <family val="2"/>
        <scheme val="minor"/>
      </rPr>
      <t xml:space="preserve"> and then add on costs specific to the project.</t>
    </r>
  </si>
  <si>
    <t xml:space="preserve">Scaffolding can be £1000.
Requirement for a damp proof course adds costs.
Render finish and colour.
</t>
  </si>
  <si>
    <t>EWI, some CWI and R.</t>
  </si>
  <si>
    <t>Company works in the Midlands</t>
  </si>
  <si>
    <t>£70-£95</t>
  </si>
  <si>
    <t>£5,000+</t>
  </si>
  <si>
    <t>£10,000-£12,000</t>
  </si>
  <si>
    <t>£5,000-£10,000 depnding on size</t>
  </si>
  <si>
    <t>Estimated saving of 5-10%.</t>
  </si>
  <si>
    <t>Additional costs may include asbestos clearing, survey costs for unusual constructions, planning applications, high-end finishes.</t>
  </si>
  <si>
    <r>
      <t>1 home, 90m</t>
    </r>
    <r>
      <rPr>
        <sz val="11"/>
        <color theme="1"/>
        <rFont val="Calibri"/>
        <family val="2"/>
      </rPr>
      <t>²</t>
    </r>
  </si>
  <si>
    <t>Exeter, works in SW</t>
  </si>
  <si>
    <t>£100-£120</t>
  </si>
  <si>
    <t>Costs are too variable to give on a per housetype basis. Works on a per square metre basis.</t>
  </si>
  <si>
    <r>
      <t>Around 10% saving on average.
£80/m</t>
    </r>
    <r>
      <rPr>
        <sz val="11"/>
        <color theme="1"/>
        <rFont val="Calibri"/>
        <family val="2"/>
      </rPr>
      <t>²</t>
    </r>
    <r>
      <rPr>
        <sz val="11"/>
        <color theme="1"/>
        <rFont val="Calibri"/>
        <family val="2"/>
        <scheme val="minor"/>
      </rPr>
      <t xml:space="preserve"> as bare minimum for basic job with multiple homes at scale.</t>
    </r>
  </si>
  <si>
    <t>Materials have increased around 1-5% per year in last 10 years.
Main cost increase has been around certification but company has not passed this cost on to remain competitive.</t>
  </si>
  <si>
    <t>Private, Social</t>
  </si>
  <si>
    <r>
      <t>1 home, 90m</t>
    </r>
    <r>
      <rPr>
        <sz val="11"/>
        <color theme="1"/>
        <rFont val="Calibri"/>
        <family val="2"/>
      </rPr>
      <t>². Works at range of scales.</t>
    </r>
  </si>
  <si>
    <t>EWI, some CWI, R, F, G.
Worked in area for 10 years. Works on lots of park homes as well as others.</t>
  </si>
  <si>
    <t>Thousands in total</t>
  </si>
  <si>
    <t>Insulation: IWI, EWI, CWI, PWI, R
Works with preferred installers. Worked in area for many decades.</t>
  </si>
  <si>
    <t>EWI, some G.
Worked in area for over 10 years.
Renewables.</t>
  </si>
  <si>
    <r>
      <t>£80/100-£180</t>
    </r>
    <r>
      <rPr>
        <sz val="11"/>
        <rFont val="Calibri"/>
        <family val="2"/>
        <scheme val="minor"/>
      </rPr>
      <t xml:space="preserve"> (absolute min. £55</t>
    </r>
    <r>
      <rPr>
        <sz val="11"/>
        <color theme="1"/>
        <rFont val="Calibri"/>
        <family val="2"/>
        <scheme val="minor"/>
      </rPr>
      <t>)</t>
    </r>
  </si>
  <si>
    <t>6 (1 of which provided minimum cost only)</t>
  </si>
  <si>
    <t>Savings of around 10%. (Costs provided were at scale for multiple homes but have been adjusted to give a 'individual home' cost).</t>
  </si>
  <si>
    <r>
      <t>5 companies suggesting savings of around 5-10%; most estimates being closer to 10%. One company quantified this as £15-20/m</t>
    </r>
    <r>
      <rPr>
        <sz val="11"/>
        <color theme="1"/>
        <rFont val="Calibri"/>
        <family val="2"/>
      </rPr>
      <t>².</t>
    </r>
  </si>
  <si>
    <t>One interview suggested adding 20% in SE
Cost increases for replacing kitchen/bathroom fittings, moving sockets, radiators, detailing, adding ventilation</t>
  </si>
  <si>
    <t>100,000s per year in total</t>
  </si>
  <si>
    <t>£5-£6</t>
  </si>
  <si>
    <t>Excludes ECO paperwork costs</t>
  </si>
  <si>
    <r>
      <t>£2/m</t>
    </r>
    <r>
      <rPr>
        <sz val="11"/>
        <color theme="1"/>
        <rFont val="Calibri"/>
        <family val="2"/>
      </rPr>
      <t>²</t>
    </r>
    <r>
      <rPr>
        <sz val="11"/>
        <color theme="1"/>
        <rFont val="Calibri"/>
        <family val="2"/>
        <scheme val="minor"/>
      </rPr>
      <t xml:space="preserve"> for materials, plus £500-£600 install costs</t>
    </r>
  </si>
  <si>
    <t>All costs are really variable.</t>
  </si>
  <si>
    <t>Costs above based on an average 65mm cavity.
Access issues increase costs, particularly conservatory issues. Requirement to clear debris from cavities can add around £500 (variable, labour). Narrow cavities increase costs as they require specialist products: maybe adding £100.</t>
  </si>
  <si>
    <t>Costs above based on mineral fibre.
Other materials would add cost: beads would add £30-£40 (affected by oil price); foam £40/m². Better site supervision is also needed. Whole install costs maybe 10 times higher than fibre.</t>
  </si>
  <si>
    <t>Economies of scale if can do 3 jobs/day, which is easier with larger schemes. Costs generally based on assumption this can be done; if not costs would increase.</t>
  </si>
  <si>
    <t>Cost fallen from around £1000/home in 1990s, when measure was relatively unusual.</t>
  </si>
  <si>
    <t>Individual surveys needed. 
A lot of recent installs have been carried out to a poor standard. The industry needs to be better regulated to raise standards and increase confidence.</t>
  </si>
  <si>
    <t>EWI, some IWI and R.
Has been doing EWI for around 30 years.</t>
  </si>
  <si>
    <t>Full surveys required for costing.
Green Deal should not have been pulled, now there are insufficient incentives for retrofitting homes where EWI is impractical/undesirable.</t>
  </si>
  <si>
    <r>
      <t>Increase cost estimate to £120/m</t>
    </r>
    <r>
      <rPr>
        <sz val="11"/>
        <color theme="1"/>
        <rFont val="Calibri"/>
        <family val="2"/>
      </rPr>
      <t>²</t>
    </r>
    <r>
      <rPr>
        <sz val="11"/>
        <color theme="1"/>
        <rFont val="Calibri"/>
        <family val="2"/>
        <scheme val="minor"/>
      </rPr>
      <t xml:space="preserve"> for more difficult jobs where more enabling works are required.
Enabling works, scaffolding, flue extensions (£150-£200), other plumbing and electrical works increase costs.</t>
    </r>
  </si>
  <si>
    <t>Now there are insufficient incentives for retrofitting homes where EWI is impractical/undesirable.</t>
  </si>
  <si>
    <t>Need incentives for IWI - currently most jobs are complete refurbishments only.</t>
  </si>
  <si>
    <t>DECC need to speak to more people with technical knowledge about the true costs of upgrades. Relying on energy companies involves conflicts of interest and they will install the cheapest option.</t>
  </si>
  <si>
    <t xml:space="preserve">Note: company uses a wood fibre product with breathable vapour layer.
Lots of variables: curtain rails, cornicing ,windows, cills, media, floor covering, kitchens and bathrooms and central heating systems. </t>
  </si>
  <si>
    <t>Individual surveys needed. 
Incentives needed, Green Deal should not have been removed. Interviewee suggests standards met by large companies were often poor, causing reputational issues.</t>
  </si>
  <si>
    <t>Individual surveys needed. 
Companies who do not want to compromise standards are disadvantaged as those who do cut corners (interviewee suggested this was often an issue relating to larger companies) still get certification, despite poor detailing and the issues associated with this e.g. thermal bridging, damage to industry reputation.</t>
  </si>
  <si>
    <t>Foam and beads generally cannot be used due to fireplaces, as they melt.</t>
  </si>
  <si>
    <t>PWI should be standard part of CWI jobs, but is not - funding does not incentivise it so it is usually not done.</t>
  </si>
  <si>
    <t>If work is limited to 1 or 2 installs per day, this significantly increases costs. The work only takes around an hour.</t>
  </si>
  <si>
    <t>Works in SE and SW</t>
  </si>
  <si>
    <t>Small</t>
  </si>
  <si>
    <t>Private, Social. However main sector is New Build.</t>
  </si>
  <si>
    <t>CWI, PWI</t>
  </si>
  <si>
    <r>
      <t>Works on a per m</t>
    </r>
    <r>
      <rPr>
        <sz val="11"/>
        <color theme="1"/>
        <rFont val="Calibri"/>
        <family val="2"/>
      </rPr>
      <t>²</t>
    </r>
    <r>
      <rPr>
        <sz val="11"/>
        <color theme="1"/>
        <rFont val="Calibri"/>
        <family val="2"/>
        <scheme val="minor"/>
      </rPr>
      <t xml:space="preserve"> basis, but did not want to give costs.
Stated that jobs are too variable to give costs per housetype.</t>
    </r>
  </si>
  <si>
    <t>Only uses mineral wool.</t>
  </si>
  <si>
    <t>Size of wall, size of cavity.</t>
  </si>
  <si>
    <t>Suggested economies of scale are insignificant.</t>
  </si>
  <si>
    <t>Insulation: CWI, PWI, R, F.
Works with preferred installers.
Open cell spray foam insulation.</t>
  </si>
  <si>
    <t>£25-£30</t>
  </si>
  <si>
    <t xml:space="preserve">Size of cavity (amount of product).
Product particularly aimed at hard to treat cavities.
</t>
  </si>
  <si>
    <t>Would be economies, amount not quantified.</t>
  </si>
  <si>
    <t>No significant changes</t>
  </si>
  <si>
    <t>Unknown, presumed fairly low as measure uncommon.</t>
  </si>
  <si>
    <t>2 (1 further interviewee participated but provided no cost data)</t>
  </si>
  <si>
    <t>Related to number of jobs which need to be done per day to avoid losing money. Not quantified by interviewees.</t>
  </si>
  <si>
    <t>Cavity size, wall size, ability to do several jobs in one day.</t>
  </si>
  <si>
    <t>Economies of scale are vital for PWI - would want to do 6 jobs per day, on properties in close proximity.
May also be some economies of scale in multiple flats, but offset by requirement for multiple consents.</t>
  </si>
  <si>
    <t>Possibly product type?</t>
  </si>
  <si>
    <t>Material costs increased a little. Labour cost increases but these costs have been absorbed to remain competitive. (Note: company appears to have been incorporated in 2008, so presumably not comparing to 2000)</t>
  </si>
  <si>
    <t>Hundreds of thousands in total</t>
  </si>
  <si>
    <t>CWI, R</t>
  </si>
  <si>
    <t>Mainly social, some private.
Also commercial.</t>
  </si>
  <si>
    <t>CWI, R
Worked in area for over 20 years.</t>
  </si>
  <si>
    <t>Works in Bristol and nearby area</t>
  </si>
  <si>
    <t>£350-£400</t>
  </si>
  <si>
    <t>£600-£650</t>
  </si>
  <si>
    <t>£750-£800</t>
  </si>
  <si>
    <t>£1,000-£1,200</t>
  </si>
  <si>
    <r>
      <t>Only uses beads: estimated price £35-£45/m</t>
    </r>
    <r>
      <rPr>
        <sz val="11"/>
        <color theme="1"/>
        <rFont val="Calibri"/>
        <family val="2"/>
      </rPr>
      <t>³</t>
    </r>
  </si>
  <si>
    <t>Around 10% saving. Might allow another job to be fitted in during day.</t>
  </si>
  <si>
    <r>
      <t>Cost per m</t>
    </r>
    <r>
      <rPr>
        <sz val="11"/>
        <color theme="1"/>
        <rFont val="Calibri"/>
        <family val="2"/>
      </rPr>
      <t>²</t>
    </r>
    <r>
      <rPr>
        <sz val="11"/>
        <color theme="1"/>
        <rFont val="Calibri"/>
        <family val="2"/>
        <scheme val="minor"/>
      </rPr>
      <t xml:space="preserve"> roof area (materials + labour)</t>
    </r>
  </si>
  <si>
    <r>
      <t>Cost per m</t>
    </r>
    <r>
      <rPr>
        <sz val="11"/>
        <color theme="1"/>
        <rFont val="Calibri"/>
        <family val="2"/>
      </rPr>
      <t>²</t>
    </r>
    <r>
      <rPr>
        <sz val="11"/>
        <color theme="1"/>
        <rFont val="Calibri"/>
        <family val="2"/>
        <scheme val="minor"/>
      </rPr>
      <t xml:space="preserve"> roof area (materials + labour)</t>
    </r>
  </si>
  <si>
    <r>
      <t>Cost per m</t>
    </r>
    <r>
      <rPr>
        <sz val="11"/>
        <color theme="1"/>
        <rFont val="Calibri"/>
        <family val="2"/>
      </rPr>
      <t>²</t>
    </r>
    <r>
      <rPr>
        <sz val="11"/>
        <color theme="1"/>
        <rFont val="Calibri"/>
        <family val="2"/>
        <scheme val="minor"/>
      </rPr>
      <t xml:space="preserve"> floor area (materials + labour)</t>
    </r>
  </si>
  <si>
    <t>£220-£240</t>
  </si>
  <si>
    <r>
      <t>Removal of old insulation would add £9.50/m</t>
    </r>
    <r>
      <rPr>
        <sz val="11"/>
        <color theme="1"/>
        <rFont val="Calibri"/>
        <family val="2"/>
      </rPr>
      <t>²</t>
    </r>
  </si>
  <si>
    <t>£19,000 (discounted as cost at scale)</t>
  </si>
  <si>
    <t>10% saving.</t>
  </si>
  <si>
    <t>Materials costs increased around 10%. In last 18 months labour costs have increased around 40%.</t>
  </si>
  <si>
    <t>Materials costs reduced about 10-12%</t>
  </si>
  <si>
    <t>Most of their extraction work is carried out due to original poor installations.</t>
  </si>
  <si>
    <t>Medium-Small (downsized)</t>
  </si>
  <si>
    <t>Based in Cambridge, works nationally</t>
  </si>
  <si>
    <t>£650 (£400 if mineral wool)</t>
  </si>
  <si>
    <t>£800-£1,200</t>
  </si>
  <si>
    <t>Costs above based on beads.
Mineral wool costs about 30-40% cheaper.</t>
  </si>
  <si>
    <t>Access: 2-storeys can be done using long ladders, scaffold towers would be around £120/home.
Adding vents: £40 (not clear what specification)</t>
  </si>
  <si>
    <t>Yes if can do 3 jobs per day.</t>
  </si>
  <si>
    <t>Overall increase of 25% but due to administration costs.</t>
  </si>
  <si>
    <t>Foam: £20/m² - only uses it for narrow cavities
Bead: £35-£45/m² - finds it good for providing a water barrier
White wool: £7/m² - find this does not expand well</t>
  </si>
  <si>
    <t>Cavity size: charged on a pro rata basis.
Scaffolding if working at height.</t>
  </si>
  <si>
    <t>Cavity size, ventilation modifications, removing debris, removing old CWI, repointing, DPC</t>
  </si>
  <si>
    <t>Private
Also new build.</t>
  </si>
  <si>
    <t>Private, Social. However main sector is new build.</t>
  </si>
  <si>
    <t>CWI, R, F
Boilers</t>
  </si>
  <si>
    <t>Based in Suffolk</t>
  </si>
  <si>
    <t>Region?</t>
  </si>
  <si>
    <r>
      <t>1 house, 80m</t>
    </r>
    <r>
      <rPr>
        <sz val="11"/>
        <color theme="1"/>
        <rFont val="Calibri"/>
        <family val="2"/>
      </rPr>
      <t>²</t>
    </r>
  </si>
  <si>
    <t>£400-£450</t>
  </si>
  <si>
    <t>£400-£500</t>
  </si>
  <si>
    <t>£550-£600</t>
  </si>
  <si>
    <t>No. Possibly labour, but suggested saving would be low.</t>
  </si>
  <si>
    <t>Actual prices not changed much, but price being paid has changed due to incentives changing (e.g. 2013 ECO rates were too high, since then too low).</t>
  </si>
  <si>
    <t>Difficult to do business in current market. Some companies are trying to cut costs resulting in poor work.</t>
  </si>
  <si>
    <t>Quality of work is biggest variable.
Cavity size.
Need to clear debris: could be around £150
Allows 10-20% for potential issues may encounter on site.</t>
  </si>
  <si>
    <t>Only uses mineral wool</t>
  </si>
  <si>
    <t>Insulation: IWI, EWI, CWI, R, F. Boilers, renewables.</t>
  </si>
  <si>
    <r>
      <t>Uses £/m</t>
    </r>
    <r>
      <rPr>
        <sz val="11"/>
        <color theme="1"/>
        <rFont val="Calibri"/>
        <family val="2"/>
      </rPr>
      <t>²</t>
    </r>
    <r>
      <rPr>
        <sz val="11"/>
        <color theme="1"/>
        <rFont val="Calibri"/>
        <family val="2"/>
        <scheme val="minor"/>
      </rPr>
      <t xml:space="preserve"> but did not provide.</t>
    </r>
  </si>
  <si>
    <t>£400-£420</t>
  </si>
  <si>
    <t>10% saving if style not complicated and in close proximity</t>
  </si>
  <si>
    <t>Access: conservatory issues. Scaffolding would add £300-£400 extra.</t>
  </si>
  <si>
    <t>Increased (not quantified) due to increased material, labour, guarantee costs.</t>
  </si>
  <si>
    <t>Yes only if can do multiple homes together, increasing number per day</t>
  </si>
  <si>
    <t>Only uses beads</t>
  </si>
  <si>
    <t>Material costs increased slightly. Labour costs increased.</t>
  </si>
  <si>
    <t>Funding badly managed in last 3-4 years. For instance no longer do difficult to treat PCWI because it was costing £800 for license and then too few jobs and no funding made it not cost effective to continue.</t>
  </si>
  <si>
    <t>Only uses mineral wool at £8²/m</t>
  </si>
  <si>
    <t>Access: if scaffolding is needed instead of ladders, adds £400/elevation.</t>
  </si>
  <si>
    <t>5-10% saving</t>
  </si>
  <si>
    <t>Admin costs increased 30-40% due to compliance paperwork.</t>
  </si>
  <si>
    <t>Works in Midlands</t>
  </si>
  <si>
    <t>System certification would be welcomed.</t>
  </si>
  <si>
    <t>Material costs have decreased by around 20%. Install costs also down from estimated £500 to £350 per home.</t>
  </si>
  <si>
    <t>8/day is probably limit and normal practice for contractors.</t>
  </si>
  <si>
    <t>£300-£350</t>
  </si>
  <si>
    <t>Requirement to move contents from loft - usually this has to be done by residents, otherwise extra cost.</t>
  </si>
  <si>
    <t>5-10% (1 interviewee), 10% (2 interviewees), included in figures already (1 interviewee). Related to labour savings: number of jobs can do per day. 2 interviewees suggested a threshold of 3 jobs/day.</t>
  </si>
  <si>
    <t>Material costs per m², plus labour at £100/day</t>
  </si>
  <si>
    <t>£10 (mineral wool) - of which £5 is labour; £20 (sheep's wool) - assume DIY</t>
  </si>
  <si>
    <t>Product type: sheep's wool more expensive. Might use PIR boards (cost not given) where a loft is being used for storage and it is easier to use this instead of mineral wool and then needing to build up joists before fixing boarding.</t>
  </si>
  <si>
    <t>Social, small amount of private.
Also new build.</t>
  </si>
  <si>
    <t>East Anglia</t>
  </si>
  <si>
    <r>
      <t>Uses £/m</t>
    </r>
    <r>
      <rPr>
        <sz val="11"/>
        <color theme="1"/>
        <rFont val="Calibri"/>
        <family val="2"/>
      </rPr>
      <t>²</t>
    </r>
    <r>
      <rPr>
        <sz val="11"/>
        <color theme="1"/>
        <rFont val="Calibri"/>
        <family val="2"/>
        <scheme val="minor"/>
      </rPr>
      <t xml:space="preserve"> plus fixed cost but did not provide.</t>
    </r>
  </si>
  <si>
    <t>Increased by 40% at a guess.</t>
  </si>
  <si>
    <t>Noted material costs of £1/m² for 100mm thickness.</t>
  </si>
  <si>
    <t>Figures based on top-ups. Virgin installs would be around 35% higher but rarely done. 
Roof ventilation (tile vents £200-£300 or lap vents £120-£200).
Loft clearance £80-£175.
Installing loft hatch £200-£300.</t>
  </si>
  <si>
    <t>Private
Also commercial</t>
  </si>
  <si>
    <t>Worcestershire</t>
  </si>
  <si>
    <t>CWI, R
Renewables</t>
  </si>
  <si>
    <t>Top-up loft insulation.
425 homes
(so £450 per home)</t>
  </si>
  <si>
    <t>Top-up loft insulation.
Number not stated - 4,000m² (not clear if floor or roof area)</t>
  </si>
  <si>
    <r>
      <t>Top-up loft insulation.
Number not stated - 2,500m</t>
    </r>
    <r>
      <rPr>
        <sz val="11"/>
        <color theme="1"/>
        <rFont val="Calibri"/>
        <family val="2"/>
      </rPr>
      <t>²  (not clear if floor or roof area)</t>
    </r>
  </si>
  <si>
    <t>Need to raise joists and put down boarding (extra £33/m²).
Removing old insulation (around £3/m²).</t>
  </si>
  <si>
    <t>Overall costs increased slightly in last 2.5 years, and materials costs increased around 6%.</t>
  </si>
  <si>
    <t>Mainly social, some private.
Working in area for over 40 years.
Also new build.</t>
  </si>
  <si>
    <t>EWI, CWI, R, G
Boilers, renewables.</t>
  </si>
  <si>
    <t>Company based in Wales</t>
  </si>
  <si>
    <t>Top-ups only</t>
  </si>
  <si>
    <t>£350-£380</t>
  </si>
  <si>
    <t>£500-£600</t>
  </si>
  <si>
    <r>
      <t>Uses £/m</t>
    </r>
    <r>
      <rPr>
        <sz val="11"/>
        <color theme="1"/>
        <rFont val="Calibri"/>
        <family val="2"/>
      </rPr>
      <t>²</t>
    </r>
    <r>
      <rPr>
        <sz val="11"/>
        <color theme="1"/>
        <rFont val="Calibri"/>
        <family val="2"/>
        <scheme val="minor"/>
      </rPr>
      <t xml:space="preserve"> and cost for transport based on distance but did not provide figures.</t>
    </r>
  </si>
  <si>
    <t>Location of work, requirement for access equipment. Additional cost for removing old insulation.</t>
  </si>
  <si>
    <t>Slight saving but not much.</t>
  </si>
  <si>
    <t>Materials costs increased about 20%. Labour costs not changed much (note: in Wales)</t>
  </si>
  <si>
    <t>£20 (based on sheep's wool)</t>
  </si>
  <si>
    <t>Scale?</t>
  </si>
  <si>
    <t>2 interviewees suggested no saving (1 of these because completing multiple jobs per day was seen as standard), 1 suggested 10% saving</t>
  </si>
  <si>
    <t>Moving contents of loft if not DIY, virgin installations rather than top-ups (most figures based on top-ups), providing roof ventilation, installing loft hatch, raising and boarding joists, removing old insulation, product type, location</t>
  </si>
  <si>
    <r>
      <t>£290 (but based on smaller bungalow of around 70m</t>
    </r>
    <r>
      <rPr>
        <sz val="11"/>
        <rFont val="Calibri"/>
        <family val="2"/>
      </rPr>
      <t>²</t>
    </r>
    <r>
      <rPr>
        <sz val="11"/>
        <rFont val="Calibri"/>
        <family val="2"/>
        <scheme val="minor"/>
      </rPr>
      <t>)</t>
    </r>
  </si>
  <si>
    <t>Cost based on a 'typical' flat roof extension that might be in need of repair.
Add costs if working at height e.g. scaffold. 
Where firebreaks required, use particular product (e.g. Rockwool) at extra cost, but costs would be offset if doing a whole block.</t>
  </si>
  <si>
    <t>Would be considerable savings but not quantified these.</t>
  </si>
  <si>
    <t>Another company suggested £25/m2 (of which £5=labour) but based on commercial  projects - excluded. Suggested material costs had increased around 15% since 2000</t>
  </si>
  <si>
    <t>Only uses open cell spray foam.</t>
  </si>
  <si>
    <t>£20-£40</t>
  </si>
  <si>
    <t>Has done 5-20 installs per day in past, taking cost below £20/m² (not quantified)</t>
  </si>
  <si>
    <t>No changes observed.</t>
  </si>
  <si>
    <t>Insulation: CWI, PWI, R, F.
Works with preferred installers.
Spray foam insulation.</t>
  </si>
  <si>
    <t>R, F
Spray foam insulation (PU).</t>
  </si>
  <si>
    <t>Social, Private.
Also commercial.</t>
  </si>
  <si>
    <t>Nationwide</t>
  </si>
  <si>
    <t>£25 min.</t>
  </si>
  <si>
    <t>Project dependent, but maybe 10-20% saving.</t>
  </si>
  <si>
    <t>No significant changes.</t>
  </si>
  <si>
    <t>£25-£50</t>
  </si>
  <si>
    <t>IWI, EWI, R</t>
  </si>
  <si>
    <t>Bournemouth. Works in South England.</t>
  </si>
  <si>
    <t>1 - 4 bed house
PIR board</t>
  </si>
  <si>
    <r>
      <t>Costs based on 100mm spray foam insulation.
Lower end based on spraying directly under roof tiles, higher if remedial work required (£40/m</t>
    </r>
    <r>
      <rPr>
        <sz val="11"/>
        <color theme="1"/>
        <rFont val="Calibri"/>
        <family val="2"/>
      </rPr>
      <t>²</t>
    </r>
    <r>
      <rPr>
        <sz val="11"/>
        <color theme="1"/>
        <rFont val="Calibri"/>
        <family val="2"/>
        <scheme val="minor"/>
      </rPr>
      <t>).
Access issues: if need to remove and reinstate boards (can increase to £50/m</t>
    </r>
    <r>
      <rPr>
        <sz val="11"/>
        <color theme="1"/>
        <rFont val="Calibri"/>
        <family val="2"/>
      </rPr>
      <t>²</t>
    </r>
    <r>
      <rPr>
        <sz val="11"/>
        <color theme="1"/>
        <rFont val="Calibri"/>
        <family val="2"/>
        <scheme val="minor"/>
      </rPr>
      <t>).</t>
    </r>
  </si>
  <si>
    <r>
      <t>Cost based on spray foam insulation.
Depends on construction and amount of material needed: if unfinished roof space where can spray between rafters, £20/m</t>
    </r>
    <r>
      <rPr>
        <sz val="11"/>
        <color theme="1"/>
        <rFont val="Calibri"/>
        <family val="2"/>
      </rPr>
      <t>²</t>
    </r>
    <r>
      <rPr>
        <sz val="11"/>
        <color theme="1"/>
        <rFont val="Calibri"/>
        <family val="2"/>
        <scheme val="minor"/>
      </rPr>
      <t>; but if room in roof space higher (depends on if can inject spray, or need to remove and reinstall boarding (latter at £40/m²)).</t>
    </r>
  </si>
  <si>
    <t>Never worked on a flat</t>
  </si>
  <si>
    <t>£3,000-£3500</t>
  </si>
  <si>
    <r>
      <t>Costs assume simple installation with PIR board.
Access difficulties would increase costs: if can't access front and back of house.
Working round windows, removing and reinstating plasterboards (would treat as IWI, increase costs to around £100/m</t>
    </r>
    <r>
      <rPr>
        <sz val="11"/>
        <color theme="1"/>
        <rFont val="Calibri"/>
        <family val="2"/>
      </rPr>
      <t>²</t>
    </r>
    <r>
      <rPr>
        <sz val="11"/>
        <color theme="1"/>
        <rFont val="Calibri"/>
        <family val="2"/>
        <scheme val="minor"/>
      </rPr>
      <t>).</t>
    </r>
  </si>
  <si>
    <r>
      <t>£12/m</t>
    </r>
    <r>
      <rPr>
        <sz val="11"/>
        <color theme="1"/>
        <rFont val="Calibri"/>
        <family val="2"/>
      </rPr>
      <t>² for materials (PIR board), plus labour cost (not quantified)</t>
    </r>
  </si>
  <si>
    <t>R
Extensions, conversions, electrics, plumbing</t>
  </si>
  <si>
    <t>London, Hertfordshire</t>
  </si>
  <si>
    <t>Costs very variable</t>
  </si>
  <si>
    <t>Designs, amount of insulation required.</t>
  </si>
  <si>
    <t>Changes to Building Regulations impacted on costs through changing specifications (not quantified)</t>
  </si>
  <si>
    <t>Details not given. 7 room in roof retrofit projects completed in last 12 months.</t>
  </si>
  <si>
    <t>Unknown. 2 of the interviewees reported that they have done work at scale.</t>
  </si>
  <si>
    <r>
      <t>1 interviewee suggested savings of 10-20% depending on project. Another suggested can reduce costs below minimum of £20/m</t>
    </r>
    <r>
      <rPr>
        <sz val="11"/>
        <color theme="1"/>
        <rFont val="Calibri"/>
        <family val="2"/>
      </rPr>
      <t>²</t>
    </r>
    <r>
      <rPr>
        <sz val="11"/>
        <color theme="1"/>
        <rFont val="Calibri"/>
        <family val="2"/>
        <scheme val="minor"/>
      </rPr>
      <t xml:space="preserve"> given here.</t>
    </r>
  </si>
  <si>
    <t>Finish quality required, access, requirement to remove and reinstall plasterboard, remedial work, working round windows if using board, amount of insulation. 
Significant differences between product types not observed based on this (small) sample.</t>
  </si>
  <si>
    <t>Depends if done internally or externally: external most common, installation usually prompted by need to replace failed roof covering. Costs above based on external: spray foam plus weatherproof membrane. Internal would involve replacing ceiling, redecorating.
Otherwise not come across many. Working round rooflights can increase time and costs.</t>
  </si>
  <si>
    <t>Not observed any.</t>
  </si>
  <si>
    <t>Need to do condensation risk analysis</t>
  </si>
  <si>
    <t>All company's work is at scale.</t>
  </si>
  <si>
    <t>Steady yearly increases (not quantified).</t>
  </si>
  <si>
    <t>Said costs too variable to give any figures.</t>
  </si>
  <si>
    <t>Works at scale</t>
  </si>
  <si>
    <t>R</t>
  </si>
  <si>
    <t>North England</t>
  </si>
  <si>
    <t>Unknown, low</t>
  </si>
  <si>
    <t>Interviewees suggested savings would be considerable, but did not quantify these.</t>
  </si>
  <si>
    <t>Profile of the existing roof, and if it needs build ups. If existing covering is ballast/concrete, needs to be broken up and taken away. Tapered insulation is more expensive if this is needed. Moving and refitting of roof fixtures.</t>
  </si>
  <si>
    <t>Access, fire break requirement, whether done internally/externally, working round rooflights, profile of existing roof, requirement to remove existing ballast/concrete covering, requirement for tapered insulation, removing and reinstating roof fittings. Possibly product type, but hard to tell based on very small sample and lack of information.</t>
  </si>
  <si>
    <t>£1/m2 for material, plus around £500-£600 per floor labour costs.</t>
  </si>
  <si>
    <t>Main factor is the finish specified: for example, a job costing £10,000 with a basic finish could be £15,000 with a different quality finish.
Also if there is a 3rd party between customer and installer, can add 25% to customer's cost.</t>
  </si>
  <si>
    <t>Costs within range given depend on finish required and on location.
Too many variations to list (said over 200, includes replacing cast iron downpipes).
Quality and detailing are important and have a big impact on cost. 3rd party charges also identified.</t>
  </si>
  <si>
    <t>Private
Mainly Victorian solid-walled properties.</t>
  </si>
  <si>
    <t>Birmingham</t>
  </si>
  <si>
    <r>
      <t>1 mid terrace (40m</t>
    </r>
    <r>
      <rPr>
        <sz val="11"/>
        <color theme="1"/>
        <rFont val="Calibri"/>
        <family val="2"/>
      </rPr>
      <t>²</t>
    </r>
    <r>
      <rPr>
        <sz val="11"/>
        <color theme="1"/>
        <rFont val="Calibri"/>
        <family val="2"/>
        <scheme val="minor"/>
      </rPr>
      <t>)</t>
    </r>
  </si>
  <si>
    <t>1 Victorian 4 bed</t>
  </si>
  <si>
    <t>1 home, type unspecified</t>
  </si>
  <si>
    <t>Housetype not very relevant, can work off cost per square metre</t>
  </si>
  <si>
    <t>Need to take a holistic, whole house approach to retrofit, like in Germany.</t>
  </si>
  <si>
    <t>Not really changed</t>
  </si>
  <si>
    <t>Not changed in last 3 years.</t>
  </si>
  <si>
    <t>Insulation (not CWI)
Worked in area for last 3 years.</t>
  </si>
  <si>
    <t>Not done at scale</t>
  </si>
  <si>
    <t>Survey needed to identify any issues affecting costs</t>
  </si>
  <si>
    <t>Costs based on mineral wool, fitting a windproof membrane and sealing with tape.
If joists need replacing (e.g. are rotten/damp) this adds cost: min. £500.  If floorboards need replacing (e.g. break when lifted), adds cost.
Costs really depend on what is found under floorboards - so company has a long T&amp;Cs list for measure.</t>
  </si>
  <si>
    <t>Not done</t>
  </si>
  <si>
    <t>Based on mineral wool. Sometimes uses PIR boards.
Prices based on ground floor - don't do upper floors except for sound insulation.
Prices would increase (double) if needed to lift all floorboards - these are based on void being large enough for crawl space and fitting from below.
Costs for kitchens and hallways would be higher - not usually done, kitchens usually solid.
If renovation work was being done and floorboards were already lifted, would save costs (perhaps half a day's labour).</t>
  </si>
  <si>
    <t>Various (unspecified) factors.</t>
  </si>
  <si>
    <t>Based on loft roll insulation plus netting.
If floorboards need replacing, might add £2,000.
Cost increases if need to move/work round electrics, access issues/ease of access.
Concrete floors harder to do and very uncommon.</t>
  </si>
  <si>
    <r>
      <t>Costs based on PU spray foam.
Requirement to lift and replace boards adds significant time and cost.
If can fit from a cellar, insulation can be applied quickly and easily onto the cellar ceiling: relatively cheap at £25/m</t>
    </r>
    <r>
      <rPr>
        <sz val="11"/>
        <color theme="1"/>
        <rFont val="Calibri"/>
        <family val="2"/>
      </rPr>
      <t>²</t>
    </r>
    <r>
      <rPr>
        <sz val="11"/>
        <color theme="1"/>
        <rFont val="Calibri"/>
        <family val="2"/>
        <scheme val="minor"/>
      </rPr>
      <t xml:space="preserve">. </t>
    </r>
  </si>
  <si>
    <t>Unknown - low</t>
  </si>
  <si>
    <t>Interviewees who responded reported that the measure was not undertaken at scale</t>
  </si>
  <si>
    <r>
      <t>Need to replace joists/floorboards, electrics, access issues/ease of access (one interview cited £25/m</t>
    </r>
    <r>
      <rPr>
        <sz val="11"/>
        <color theme="1"/>
        <rFont val="Calibri"/>
        <family val="2"/>
      </rPr>
      <t>²</t>
    </r>
    <r>
      <rPr>
        <sz val="11"/>
        <color theme="1"/>
        <rFont val="Calibri"/>
        <family val="2"/>
        <scheme val="minor"/>
      </rPr>
      <t xml:space="preserve"> cost if can access via cellar). Need to know what is under floorboards to determine costs. Costs would reduce if floorboards already lifted for other renovation work. Not enough evidence to comment on relative costs of different products. Some costs based on being able to install without lifting all floorboards, others not clear.</t>
    </r>
  </si>
  <si>
    <t>Usually does part of home, not whole home</t>
  </si>
  <si>
    <t>Extra fittings or wiring alterations would increase costs.</t>
  </si>
  <si>
    <t>No - but economies of scale within home (not quantified)</t>
  </si>
  <si>
    <t>9 homes in last 12 months - bulbs and fittings installed (but not whole homes)</t>
  </si>
  <si>
    <t>Bradford</t>
  </si>
  <si>
    <t>£200-£300 (bulbs only)</t>
  </si>
  <si>
    <t>Usually does bulbs only; fittings and switches would add cost.</t>
  </si>
  <si>
    <t>Bulb prices have reduced by about 30%</t>
  </si>
  <si>
    <t>Bulb prices have reduced (not quantified)</t>
  </si>
  <si>
    <r>
      <t>£52 per</t>
    </r>
    <r>
      <rPr>
        <b/>
        <sz val="11"/>
        <color theme="1"/>
        <rFont val="Calibri"/>
        <family val="2"/>
        <scheme val="minor"/>
      </rPr>
      <t xml:space="preserve"> fitting </t>
    </r>
    <r>
      <rPr>
        <sz val="11"/>
        <color theme="1"/>
        <rFont val="Calibri"/>
        <family val="2"/>
        <scheme val="minor"/>
      </rPr>
      <t>(installed)</t>
    </r>
  </si>
  <si>
    <t>Per bulb if DIY</t>
  </si>
  <si>
    <t>Supplies bulbs, fittings, drivers - costs above would be higher if installation was included.
If existing MR16 halogen lights have a transformer this will need replacing to avoid LED lights flashing.</t>
  </si>
  <si>
    <t>Another interviewee provided an estimate of £800-£900 per house for a full upgrade, but they only did commercial work so were excluded.</t>
  </si>
  <si>
    <r>
      <t xml:space="preserve">£200 </t>
    </r>
    <r>
      <rPr>
        <b/>
        <sz val="11"/>
        <color theme="1"/>
        <rFont val="Calibri"/>
        <family val="2"/>
        <scheme val="minor"/>
      </rPr>
      <t>bulbs only</t>
    </r>
  </si>
  <si>
    <r>
      <t xml:space="preserve">£250 </t>
    </r>
    <r>
      <rPr>
        <b/>
        <sz val="11"/>
        <color theme="1"/>
        <rFont val="Calibri"/>
        <family val="2"/>
        <scheme val="minor"/>
      </rPr>
      <t>bulbs only</t>
    </r>
  </si>
  <si>
    <r>
      <t xml:space="preserve">£300 </t>
    </r>
    <r>
      <rPr>
        <b/>
        <sz val="11"/>
        <color theme="1"/>
        <rFont val="Calibri"/>
        <family val="2"/>
        <scheme val="minor"/>
      </rPr>
      <t>bulbs only</t>
    </r>
  </si>
  <si>
    <t>Cost per fitting</t>
  </si>
  <si>
    <r>
      <t>£50/</t>
    </r>
    <r>
      <rPr>
        <b/>
        <sz val="11"/>
        <color theme="1"/>
        <rFont val="Calibri"/>
        <family val="2"/>
        <scheme val="minor"/>
      </rPr>
      <t>fitting</t>
    </r>
    <r>
      <rPr>
        <sz val="11"/>
        <color theme="1"/>
        <rFont val="Calibri"/>
        <family val="2"/>
        <scheme val="minor"/>
      </rPr>
      <t xml:space="preserve"> (installed)</t>
    </r>
  </si>
  <si>
    <t>Unknown</t>
  </si>
  <si>
    <t>Cost per bulb (DIY)</t>
  </si>
  <si>
    <t>Social, Private</t>
  </si>
  <si>
    <t>EWI, CWI, R1, boilers
Works nationwide.</t>
  </si>
  <si>
    <t>Suffolk</t>
  </si>
  <si>
    <t>£1,500-£1,700 for individual project
See below per housetype</t>
  </si>
  <si>
    <t>Pricing is based on a combination boiler for existing wall boiler replacement in original place with standard horizontal flue, new integral programmer and wiring, new TRVs, system filter and additives.  Labour and materials only. 
The prices are exclusive of VAT and do not include customer service, lead generation or survey.</t>
  </si>
  <si>
    <t xml:space="preserve">There are regional costs for labour and productivity (not quantified), not for materials. </t>
  </si>
  <si>
    <t xml:space="preserve">Materials have increased on average by 4% per year.   </t>
  </si>
  <si>
    <t>Costs provided were at scale, but have been adjusted</t>
  </si>
  <si>
    <t>Not stated, company works nationwide</t>
  </si>
  <si>
    <t>Not done work at scale</t>
  </si>
  <si>
    <t xml:space="preserve">Pricing is based on a heat only wall boiler for existing wall boiler replacement in original position with standard horizontal flue, new programmer, roomstat and wiring, new TRVs, system filter and additives, connected to existing oil tank and line. 
Prices are exclusive of VAT and do not include customer service, lead generation or survey.    </t>
  </si>
  <si>
    <t>Type and make of boiler, controls required, vertical flue, moving boiler position, number of TRVs.</t>
  </si>
  <si>
    <t>Around 10% saving, in social housing.
Pricing was provided by interviewee based on costs at scale, has been adjusted to be individual project costs.</t>
  </si>
  <si>
    <t>Pricing is for material and labour, based on a full system including combination boiler with standard horizontal flue, new integral programmer and roomstat and wiring, new radiators with TRVs and L/Shield radiator valves, system filter, and additional all pipework and fittings. Includes all builders work and finishes. Radiators: 4 in small flat, 6 in small semi/mid-terrace, 7 in large flat, 9 in large semi/mid-terrace and small detached and bungalow, 11 in large detached.</t>
  </si>
  <si>
    <t>Materials have increased on average by 4% per year</t>
  </si>
  <si>
    <t xml:space="preserve">Type and make of boiler, controls required, vertical flue, alternative boiler position, number of radiators and valves, lower volumes, area of work. </t>
  </si>
  <si>
    <t>Boilers, central  heating</t>
  </si>
  <si>
    <t>1, type unspecified</t>
  </si>
  <si>
    <t>System type - combi or regular.</t>
  </si>
  <si>
    <t>30% increase due to materials and labour</t>
  </si>
  <si>
    <t>£3,500 (home type unspecified)</t>
  </si>
  <si>
    <t>More relevant to consider the number of householders and number of bathrooms than housetype because costs really come down to system type</t>
  </si>
  <si>
    <t>£1,700-£1,900 for combi replacement (higher end = higher end boiler)</t>
  </si>
  <si>
    <t>Exclude VAT, GasSafe certificate and warranty</t>
  </si>
  <si>
    <t>£2,500 for changing regular to combi</t>
  </si>
  <si>
    <t>£3,500 - £4,000 + a tank (£1,000) + probably need to change piping and flue unit (£1,500). Assumes includes a change from non-pressurised to pressurised system.</t>
  </si>
  <si>
    <t>Prices have been quite stable</t>
  </si>
  <si>
    <t>Boiler make: high end adds £200.
System type, what is replacing what. If switch from pressurised to non-pressurised (see detached house cost above).
If flue needs changing (+£1,000), if gas pipe needs changing to current standards (+£300).</t>
  </si>
  <si>
    <t>Private, Social.
New build too.</t>
  </si>
  <si>
    <t>Company based in Suffolk</t>
  </si>
  <si>
    <t>Insulation, boilers, central heating.
Renewables.</t>
  </si>
  <si>
    <t>Survey required</t>
  </si>
  <si>
    <t>Housetype not that relevant, depends on system type.
Could split by boiler cost plus labour plus extras.</t>
  </si>
  <si>
    <t>Boiler make: they use higher end.
System type and what is being replaced. If components are to be moved (e.g. boiler from floor to wall). If piping does not meet current standards and needs replacing. Power flush (£500). Warranty length.</t>
  </si>
  <si>
    <t>Not observed much change</t>
  </si>
  <si>
    <t>£2,000 (small job)</t>
  </si>
  <si>
    <t>Gas boilers, central heating</t>
  </si>
  <si>
    <t>Gas boilers, central heating, LEDs</t>
  </si>
  <si>
    <t>Regular boiler replacing regular boiler (24kW)</t>
  </si>
  <si>
    <t>£1,200 for combi replacement</t>
  </si>
  <si>
    <t>Number of bathrooms is key, determining pressure required, therefore system type and size</t>
  </si>
  <si>
    <t>System type, what is being replaced. If increase size of boiler, add around £50 per increment. If need to upgrade piping to 22mm would add £150, to add vertical flue £200. If replacing regular with regular, similar to replacing combi with combi unless need new hot water cylinder. Extra cost for replacing regular with combi (stripping out old parts, adding flue)</t>
  </si>
  <si>
    <t>Boiler costs increased steadily year on year, no big fluctuations</t>
  </si>
  <si>
    <t>Green Deal should be brought back</t>
  </si>
  <si>
    <t>Company based in Cambridge</t>
  </si>
  <si>
    <t>£2,240 / £1,960</t>
  </si>
  <si>
    <t>Combi boiler 28kW replacing combi boiler 24kW / cheaper combi to combi (smaller boiler)</t>
  </si>
  <si>
    <t>£2,950 (38kW combi)</t>
  </si>
  <si>
    <t>£2,850 (30kW regular boiler)</t>
  </si>
  <si>
    <t>£1,800 (min. price, but usually customers want larger boiler size)</t>
  </si>
  <si>
    <t xml:space="preserve">If need to upgrade to 22mm piping adds about £280
Customer preferences/needs: boiler size (each increment would add about £200), warranty length. What is replacing what (e.g. for small flat cost of £1,800, if replacing regular with combi instead then would add £600-£700. Vertical flue would add £500. Chemical flush is £140, power flush £400. Programmable wireless device would cost £180, internet controls would add a further £100.
Installing high end boiler with 8 year warranty would add £200-£300. </t>
  </si>
  <si>
    <t>Only boiler costs - steady 4-5% year on year</t>
  </si>
  <si>
    <t>Gas boilers, LEDs, electrics.
Solar.</t>
  </si>
  <si>
    <t>All sectors</t>
  </si>
  <si>
    <t>Cost include installer margin.</t>
  </si>
  <si>
    <t>1, basic combi to combi replacement</t>
  </si>
  <si>
    <t>Steady increases, nothing major</t>
  </si>
  <si>
    <t>Depends on what needs to be replaced/modified.</t>
  </si>
  <si>
    <t>Midlands, also North London</t>
  </si>
  <si>
    <t>3 bed 1 bathroom house. Combi boiler replacing regular boiler. This is their most common project type.</t>
  </si>
  <si>
    <t>Need to consider number of bathrooms to establish type and size of boiler.</t>
  </si>
  <si>
    <t>System type and what is being replaced is significant: like for like is cheaper. If high end boiler, adds £200-£400. Cheapest boiler could be £300 less than mid-range, but would not recommend this. 
Moving a boiler to new location +£250. Vertical flue +£300. Heating controls +£100-£300. Magnetic filter +£100-150. Power flush around +£350. If there is much waste needing removing and disposal adds cost.</t>
  </si>
  <si>
    <t>All steadily increasing (not quantified)</t>
  </si>
  <si>
    <t>£7,000+</t>
  </si>
  <si>
    <t>£3,000+ (small job)</t>
  </si>
  <si>
    <t>£4,000-£5,000</t>
  </si>
  <si>
    <t>If oil tank needs replacing (up to £1000 depending on size). If the tank is to be below ground adds excavation costs.
Boiler make. System type and what is being replaced. If components are to be moved (e.g. boiler from floor to wall). If piping does not meet current standards and needs replacing. Power flush. Warranty length.</t>
  </si>
  <si>
    <t>Wales</t>
  </si>
  <si>
    <t>North/mid Wales</t>
  </si>
  <si>
    <t>Gas boilers, oil boilers, central heating, solid fuel.
Solar.
40 years experience</t>
  </si>
  <si>
    <t>1 - combi replacing combi</t>
  </si>
  <si>
    <t>Boiler type</t>
  </si>
  <si>
    <t>Boiler type.
If need to run piping, replace cylinders or replace oil tanks</t>
  </si>
  <si>
    <t>Possibly around £1,000 increase, due to overhead, boiler and admin costs</t>
  </si>
  <si>
    <t>Gas boilers, oil boilers, central heating.
Renewables.</t>
  </si>
  <si>
    <t>3 bed bungalow, simple replacement</t>
  </si>
  <si>
    <t>Lincolnshire, Nottinghamshire, Yorkshire</t>
  </si>
  <si>
    <t>Oil boilers</t>
  </si>
  <si>
    <t>1 home</t>
  </si>
  <si>
    <t>Labour costs remained similar. VAT cost increase is most significant.</t>
  </si>
  <si>
    <t>Basic boiler price, plus add-ons</t>
  </si>
  <si>
    <t>Extra long flues. Heating cylinders. Needing to install fully pumped oil tank. Extra upgrades and radiators. A very complex job requiring all this can cost £10,500.</t>
  </si>
  <si>
    <t>Smaller?</t>
  </si>
  <si>
    <t>London location adds congestion charging and parking costs</t>
  </si>
  <si>
    <t>Gas, central heating, insulation
Solar</t>
  </si>
  <si>
    <t>£10-£20 for jacket depending on size, plus £70 for labour (based on 1 hour)</t>
  </si>
  <si>
    <t>Not much variation from one cylinder to another</t>
  </si>
  <si>
    <t>Small increase if need to lag cylinder pipework.</t>
  </si>
  <si>
    <t>Going to a job to just insulate a cylinder would only be feasible if property very close. If 4-5 could be done per day it would be more cost-effective (not quantified).</t>
  </si>
  <si>
    <t>Depends on number of rooms</t>
  </si>
  <si>
    <t>Increase of around 30%</t>
  </si>
  <si>
    <t>ECO paperwork needs to be simplified, has significantly increased since 2011</t>
  </si>
  <si>
    <t>Derby</t>
  </si>
  <si>
    <t>Gas boilers, central heating
Worked in area for around 30 years</t>
  </si>
  <si>
    <t>1 terraced house, 8 radiators</t>
  </si>
  <si>
    <t>£8,000-£9,000</t>
  </si>
  <si>
    <t>Boiler cost + cost per radiator</t>
  </si>
  <si>
    <t>Depends on numbers of rooms and specification required - radiators and TRV costs vary in price. Costs provided are based on basic job.
Extra to move radiators if needed. System type.</t>
  </si>
  <si>
    <t>Simple radiator swap is £200, but new radiator in new position would be around £400 including pipe run.</t>
  </si>
  <si>
    <t>No change in recent years</t>
  </si>
  <si>
    <t>Steady increases (not quantified)</t>
  </si>
  <si>
    <t>Not much change</t>
  </si>
  <si>
    <t>Already competitive, some savings for large-scale work (not quantified)</t>
  </si>
  <si>
    <t>1 terraced house, 3 beds</t>
  </si>
  <si>
    <t>£5,090 + VAT</t>
  </si>
  <si>
    <t>Boiler cost + cost per radiator and for controls</t>
  </si>
  <si>
    <t>Costs above based on fitting a combi boiler from scratch with radiators and controls.
Costs vary depending on what exists already and system being installed.
Standard radiator swap is about £100. Heating controls vary from about £50 - £150.
 If installing cylinders for a regular boiler or unvented system. Heating control costs and TRVs and radiators vary. Radiator pipe runs. Flues. Amount of electrical work needed.</t>
  </si>
  <si>
    <t>If replacing radiators in situ cost is about £200/radiator (could just replace the TRVs on existing radiators for about £35 if doing work already). If need to move a radiator this would be nearer £400. If need to replace a cylinder - a vented copper cylinder would be about £400 whereas an unvented, mains fed cylinder about £1,200. Controls for a regular boiler would be around £400.</t>
  </si>
  <si>
    <t>Difficult flooring like concrete for putting in pipework. Vertical flues. Changing lead piping in old properties. Parking and travel. Occupants and amount of clutter - void properties easier.</t>
  </si>
  <si>
    <t>As for gas but add £200 per radiator</t>
  </si>
  <si>
    <t>As for gas but add costs for radiators: around £2,000 for 8.</t>
  </si>
  <si>
    <t>Prices above based on combi boiler + radiators.
High quality boiler around £200 extra.
Vertical flue is about £300 - £400. A new cylinder if needed would be about £450. Pipes runs and modifying the pipes to 22mm adds costs too. Another factor is the age/condition of the property and associated heating demands: determines radiator output/size required.</t>
  </si>
  <si>
    <t>£3,500-£4,500</t>
  </si>
  <si>
    <t>£4,000-£4,750</t>
  </si>
  <si>
    <t>£4,500-£5,000</t>
  </si>
  <si>
    <t>£5,000-£6,000</t>
  </si>
  <si>
    <t>£2,500-£3,000</t>
  </si>
  <si>
    <t>At least some costs exclude VAT - probably all on same basis</t>
  </si>
  <si>
    <t>As above plus £100 extra per radiator</t>
  </si>
  <si>
    <t>Mostly social for EWI, also private for other measures</t>
  </si>
  <si>
    <t>Mix of houses, flats, maisonettes and bungalows</t>
  </si>
  <si>
    <t>Plymouth / West Midlands</t>
  </si>
  <si>
    <t>Possibly scale</t>
  </si>
  <si>
    <t>Typical approach is at scale. Affects lead generation, site and project management costs. Not quantified.</t>
  </si>
  <si>
    <t>Enabling costs can be significant.  
Also phone cables, alarms, CCTV, dishes - notably where electricians required to test - costs up to £150 each.  
Different finishes such as brick slips, matching canopies.
Asbestos removal.</t>
  </si>
  <si>
    <t>Only started installing EWI fairly recently.</t>
  </si>
  <si>
    <t>Costs do not include customer service, lead generation or survey.
Costs exclude VAT.
Costs are based on social housing sector - in private sector lead generation costs can be significant.</t>
  </si>
  <si>
    <t>5 (1 of which provided minimum cost only)</t>
  </si>
  <si>
    <t>Cost increases for quality/type of finish specified, moving power or telephone cables or satellite dishes, detailing, increased scaffolding requirements (e.g. high-rise flats), presence of asbestos, damp proof course requirement</t>
  </si>
  <si>
    <t>3 (1 of which provided maximum cost only)</t>
  </si>
  <si>
    <t>5 (2 of which provided maximum costs only)</t>
  </si>
  <si>
    <t>4 (1 of which provided maximum cost only, 1 minimum cost only)</t>
  </si>
  <si>
    <t>National</t>
  </si>
  <si>
    <t>1,000s per year in total, standard cavities in mix of property types</t>
  </si>
  <si>
    <r>
      <t>Uses fixed cost plus £/m</t>
    </r>
    <r>
      <rPr>
        <sz val="11"/>
        <color theme="1"/>
        <rFont val="Calibri"/>
        <family val="2"/>
      </rPr>
      <t>²</t>
    </r>
    <r>
      <rPr>
        <sz val="11"/>
        <color theme="1"/>
        <rFont val="Calibri"/>
        <family val="2"/>
        <scheme val="minor"/>
      </rPr>
      <t xml:space="preserve"> but did not provide.</t>
    </r>
  </si>
  <si>
    <t>Has generally done  in individual homes</t>
  </si>
  <si>
    <t>Only usees mineral wool as stated foam is very labour intensive and therefore expensive.</t>
  </si>
  <si>
    <t>Hard to treat cavities would add costs.
Scaffolding cost which can cost between £500 - £1500.  
Cleaning cavity and remedial work on walls will increase costs by around £1000+. 
Volume of jobs and utilisation of workforce.</t>
  </si>
  <si>
    <t>Costs exclude customer service, lead generation and survey. These can add 50% - 100% extra cost.
Costs exclude VAT.</t>
  </si>
  <si>
    <t>Cavity size, access issues (conservatories, requirement for scaffolding), quality of work, need to clear debris or remove existing CWI, narrow cavities requiring specialist products, repointing, adding DPCs or ventilation. Lead generation and customer service.</t>
  </si>
  <si>
    <t>10,000s of homes each year</t>
  </si>
  <si>
    <t>Loft clearance, walkboards.
Health and safety provision.</t>
  </si>
  <si>
    <t>More top-up of insulation rather than virgin loft. Scaled back on labour.</t>
  </si>
  <si>
    <t>No longer installs loft insulation.</t>
  </si>
  <si>
    <t xml:space="preserve">There is no real variation in material costs.  There is variation in labour rates, productivity (e.g. due to property density and travel) and utilisation (where we may employ fixed workforce).  </t>
  </si>
  <si>
    <t>7 (4 of which are top-ups only)</t>
  </si>
  <si>
    <t>10,000s in total</t>
  </si>
  <si>
    <t>Research</t>
  </si>
  <si>
    <t>23 domestic LED models sampled (duplicate similar models from same manufacturer excluded).</t>
  </si>
  <si>
    <t>Range: £2.01 to £20.37 per bulb.
Average: £8.05 per bulb.
Spplied only, assume DIY. Excludes delivery.</t>
  </si>
  <si>
    <t xml:space="preserve">£3-£11 per bulb (supplied only, assume DIY)
£10.50 per fitting (supplied only).
Driver to adjust voltage for GU10 halogen lighting with transformers (supplied only): £20 </t>
  </si>
  <si>
    <t xml:space="preserve">£110 for magnetic secondary glazing (excl. installation, assume DIY). </t>
  </si>
  <si>
    <t>Alternative products with aluminium frames and sliders are cheaper but less effective.</t>
  </si>
  <si>
    <t>North West</t>
  </si>
  <si>
    <t>Secondary glazing only</t>
  </si>
  <si>
    <t>Region, Product quality</t>
  </si>
  <si>
    <t>Small flat is assumed 1 bed with 6 windows. Large flat is assumed 3 bed with 15 windows. They often work in very big flats.</t>
  </si>
  <si>
    <t>£2,000 - £2,500</t>
  </si>
  <si>
    <t>£5,300 -  £6,000</t>
  </si>
  <si>
    <t>£3,500 - £4,000</t>
  </si>
  <si>
    <t>£5,300 - £6,000</t>
  </si>
  <si>
    <t>£3,000 - £6,000</t>
  </si>
  <si>
    <t>£8,500 - £10,000</t>
  </si>
  <si>
    <t>Number of windows</t>
  </si>
  <si>
    <t>Costs reported to be based on high quality product.
Client requirements.
Style, finish, number of openers, need to match colours.</t>
  </si>
  <si>
    <t>None noticed</t>
  </si>
  <si>
    <t>£1,930 excl. VAT</t>
  </si>
  <si>
    <t>Semi-detached cottage, 9 windows (average 950mm x 950mm), most with one-sided opening.
Note: for flat assume 5 windows 1100mm x 1200mm; semi-detached 8; detached 12.</t>
  </si>
  <si>
    <t>Costs based on aluminium framed perspex magnetic secondary glazing.
Working shutters, need to re-fit blinds.</t>
  </si>
  <si>
    <t>£110 (DIY)</t>
  </si>
  <si>
    <t>No comments</t>
  </si>
  <si>
    <t>Product type/quality, style, finish. Number of openers. Colour matching requirement. Issues with shutters, blinds.</t>
  </si>
  <si>
    <t>1 interview noted economies of scale within home (not quantified)</t>
  </si>
  <si>
    <t>Extra fittings or switches, wiring alterations, need for drivers, transformers.</t>
  </si>
  <si>
    <t>Unknown, thousands</t>
  </si>
  <si>
    <t>Interviewees had not done this work at scale</t>
  </si>
  <si>
    <t>System type (new and replacement), boiler make, need to move component, requirement to replace piping, flush, cylinder or tank replacement, tank location, long flues, oil tank pump requirement, radiator number, controls, vertical flues.</t>
  </si>
  <si>
    <t>Type and make of boiler, controls required, vertical flue, alternative boiler position, number of TRVs, lower volumes, if new oil tank/base/or pipeline is required, area of work.</t>
  </si>
  <si>
    <t>1 interviewee suggested 10% saving in social housing; the others had not done work at scale.</t>
  </si>
  <si>
    <t>1 interviewee suggested 10% saving in social housing, another agreed there are savings; the others had not done work at scale.</t>
  </si>
  <si>
    <t>Double glazing</t>
  </si>
  <si>
    <t>Double glazing, replacement panes</t>
  </si>
  <si>
    <t>Double glazing
Insulation, heating, renewables</t>
  </si>
  <si>
    <t>Double glazing
IWI, EWI</t>
  </si>
  <si>
    <t>Small - Medium</t>
  </si>
  <si>
    <t>London, East</t>
  </si>
  <si>
    <t>South</t>
  </si>
  <si>
    <t>More stability needed in market</t>
  </si>
  <si>
    <t>Building Regulations minimum requirement could be increased to Band A.</t>
  </si>
  <si>
    <t>Some reductions</t>
  </si>
  <si>
    <t>Significant increase in resin cost and therefore uPVC in 2009/10. Steady annual increases since. Labour costs increased 10-12% since 2000.</t>
  </si>
  <si>
    <t>Price not really changed, but energy efficiency increased.</t>
  </si>
  <si>
    <t>Not noticed change</t>
  </si>
  <si>
    <t>North East</t>
  </si>
  <si>
    <t>Surrey, Hertfordshire</t>
  </si>
  <si>
    <t>Dorset</t>
  </si>
  <si>
    <t>Semi with 8-10 windows</t>
  </si>
  <si>
    <t>Number of windows, size, type</t>
  </si>
  <si>
    <t>£6,000 - £6,500</t>
  </si>
  <si>
    <t>£6,000 - £7,000</t>
  </si>
  <si>
    <t>Size, style, number of openers</t>
  </si>
  <si>
    <t>No significant economies</t>
  </si>
  <si>
    <r>
      <t xml:space="preserve">£400 </t>
    </r>
    <r>
      <rPr>
        <b/>
        <sz val="11"/>
        <color theme="1"/>
        <rFont val="Calibri"/>
        <family val="2"/>
        <scheme val="minor"/>
      </rPr>
      <t>per uPVC window</t>
    </r>
  </si>
  <si>
    <r>
      <t xml:space="preserve">£300 - £1,000 </t>
    </r>
    <r>
      <rPr>
        <b/>
        <sz val="11"/>
        <color theme="1"/>
        <rFont val="Calibri"/>
        <family val="2"/>
        <scheme val="minor"/>
      </rPr>
      <t>per uPVC window</t>
    </r>
  </si>
  <si>
    <t>Company does uPVC and timber (mostly timber sash windows in London). Above costs based on uPVC.
Material affects costs: timber over twice uPVC. Triple glazed sash window would add another £150 per window.
Window style: sash more expensive than casement.</t>
  </si>
  <si>
    <t>Material cost plus fixed installation cost</t>
  </si>
  <si>
    <t>Material cost plus fixed installation cost plus disposal. However need details of job to be able to price.</t>
  </si>
  <si>
    <t>Price per window</t>
  </si>
  <si>
    <t>Brought costs down for social housing, not necessarily economies of scale though, and used basic product and achieved lower margins: average cost £2,000 per property</t>
  </si>
  <si>
    <t>Only on commercial buildings</t>
  </si>
  <si>
    <t>No, and any savings cancelled out by tendering process costs</t>
  </si>
  <si>
    <t xml:space="preserve">Above costs based on uPVC.
Style, colour (£1,200 for small flat would increase to £1,600 for anthracite finish). Patio doors (£1,200 to £3,500 - high end is for bi-folds).
Distance from manufacturer: can be significant transport costs.
Requirement for scaffolding for flats (sometimes needed for safety though most of work from inside). </t>
  </si>
  <si>
    <t>Scaffolding if needed. Bi-fold doors. 
Style and size of window.
Material: aluminium approx. double uPVC cost.</t>
  </si>
  <si>
    <t>91, typically 8 windows and 2 doors.</t>
  </si>
  <si>
    <t>Company does uPVC and timber.
Style (e.g. Georgian)</t>
  </si>
  <si>
    <t>Above costs based on uPVC.
Customer specifications: timber frames add at least 50% to costs. 
Window size. Number of dividers, openers.
Triple glazing: about 15% more than double.</t>
  </si>
  <si>
    <t>£8,000+</t>
  </si>
  <si>
    <t>Hard to give as all jobs different</t>
  </si>
  <si>
    <t>Costs provided were supplied only, but have been adjusted to installed costs (based on interviewee statement that these would be around the same as supplied costs).</t>
  </si>
  <si>
    <t xml:space="preserve">Small flat costs assume 5-6 windows, large flats 7-8. </t>
  </si>
  <si>
    <t>£4,000 - £4,200</t>
  </si>
  <si>
    <t>£4,000 - £5,000</t>
  </si>
  <si>
    <t>£5,000 - £5,500</t>
  </si>
  <si>
    <t>£5,000 - £7,000</t>
  </si>
  <si>
    <t>£6,500 - £7,500</t>
  </si>
  <si>
    <t>1 (unspecified type)</t>
  </si>
  <si>
    <t>24 (unspecified types)</t>
  </si>
  <si>
    <t>1 (unspecified type)
Small flat below based on 3-5 frames, large 5-6, large mid 8, large semi 10.</t>
  </si>
  <si>
    <t>£1,200 - £2,200</t>
  </si>
  <si>
    <t>£2,200 - £3,200</t>
  </si>
  <si>
    <t>£4,500 - £5,500</t>
  </si>
  <si>
    <t>£5,500 - £6,500</t>
  </si>
  <si>
    <t>4 (1 minimum only)</t>
  </si>
  <si>
    <t>Two interviewees reported no significant economies (one suggesting any savings would be balanced out by costs of tendering). One suggested economies would only be realised on commercial buildings.</t>
  </si>
  <si>
    <r>
      <t xml:space="preserve">Cost per </t>
    </r>
    <r>
      <rPr>
        <sz val="11"/>
        <color indexed="8"/>
        <rFont val="Calibri"/>
        <family val="2"/>
        <scheme val="minor"/>
      </rPr>
      <t>window (materials + labour)</t>
    </r>
  </si>
  <si>
    <t>Cost per window (materials + labour)</t>
  </si>
  <si>
    <t>System type (new and replacement), boiler make, boiler size, flue replacement, gas pipe upgrade requirement, need to move component positions (e.g. boiler), chemical/power flush, filter, warranty length, control types, requirement for vertical flue.</t>
  </si>
  <si>
    <t>System type (new and replacement), number and size of radiators, specification required for boiler/radiators/TRVs, need to move radiators, pipe run lengths, flue, pipe accessibility (e.g. floor type), requirement to upgrade pipes, filter/flush.</t>
  </si>
  <si>
    <t>Company</t>
  </si>
  <si>
    <t>Price</t>
  </si>
  <si>
    <t>A</t>
  </si>
  <si>
    <t>B</t>
  </si>
  <si>
    <t>C</t>
  </si>
  <si>
    <t>D</t>
  </si>
  <si>
    <t>Armadillo £36.99 - £40.99 / Sheepwool £69.99</t>
  </si>
  <si>
    <t>E</t>
  </si>
  <si>
    <t>DIY Costs</t>
  </si>
  <si>
    <t>Type</t>
  </si>
  <si>
    <t>Product Description</t>
  </si>
  <si>
    <t>Glazing Film</t>
  </si>
  <si>
    <r>
      <t>Secondary Glazing Film 6m</t>
    </r>
    <r>
      <rPr>
        <vertAlign val="superscript"/>
        <sz val="10"/>
        <color rgb="FF000000"/>
        <rFont val="Arial"/>
        <family val="2"/>
      </rPr>
      <t>2</t>
    </r>
  </si>
  <si>
    <t>Magnetic/Acrylic Secondary Glazing</t>
  </si>
  <si>
    <t>Kit requiring self-assembly and fitting</t>
  </si>
  <si>
    <t>1 x window = £62</t>
  </si>
  <si>
    <t>5 x windows = £464</t>
  </si>
  <si>
    <t>8 x windows = £765</t>
  </si>
  <si>
    <t>12 x windows = £1167</t>
  </si>
  <si>
    <t>Assembled product, for self-fitting</t>
  </si>
  <si>
    <t>1 x window = £109</t>
  </si>
  <si>
    <t>5 x windows = £545</t>
  </si>
  <si>
    <t>8 x windows = £871</t>
  </si>
  <si>
    <t>12 x windows = £1307</t>
  </si>
  <si>
    <t>F</t>
  </si>
  <si>
    <t>1 x window = £121</t>
  </si>
  <si>
    <t>5 x windows = £605</t>
  </si>
  <si>
    <t>8 x windows = £986</t>
  </si>
  <si>
    <t>12 x windows = £1452</t>
  </si>
  <si>
    <t>G</t>
  </si>
  <si>
    <t>Aluminium Sliders</t>
  </si>
  <si>
    <t>Basic horizontal equal sliders with 4mm toughened glass</t>
  </si>
  <si>
    <t>1 x window = £211</t>
  </si>
  <si>
    <t>B22</t>
  </si>
  <si>
    <t>E27</t>
  </si>
  <si>
    <t>E14</t>
  </si>
  <si>
    <t>GU10 (5W)</t>
  </si>
  <si>
    <t>£5 - £7</t>
  </si>
  <si>
    <t>MR16 (5W)</t>
  </si>
  <si>
    <t>£6 (3 for £10) (6W)</t>
  </si>
  <si>
    <t>£7 (6W)</t>
  </si>
  <si>
    <t>£8 (4W) / £9 (8.2W)</t>
  </si>
  <si>
    <t>£6 (5W)</t>
  </si>
  <si>
    <t>£9 (5W)</t>
  </si>
  <si>
    <t>£5 - £10 (5W)</t>
  </si>
  <si>
    <t>£8 (5W)</t>
  </si>
  <si>
    <t>£5 (5W)</t>
  </si>
  <si>
    <t>£6.50 (2.5W)</t>
  </si>
  <si>
    <t>Bulb Type</t>
  </si>
  <si>
    <t>£5 - £20</t>
  </si>
  <si>
    <t>£17 - £66</t>
  </si>
  <si>
    <r>
      <t>Window film (6m</t>
    </r>
    <r>
      <rPr>
        <sz val="11"/>
        <color theme="1"/>
        <rFont val="Calibri"/>
        <family val="2"/>
      </rPr>
      <t>²</t>
    </r>
    <r>
      <rPr>
        <sz val="11"/>
        <color theme="1"/>
        <rFont val="Calibri"/>
        <family val="2"/>
        <scheme val="minor"/>
      </rPr>
      <t>)</t>
    </r>
  </si>
  <si>
    <t>Seal for doors and windows</t>
  </si>
  <si>
    <t>Letterbox draught excluder</t>
  </si>
  <si>
    <t>Door brush draught excluder</t>
  </si>
  <si>
    <t>Chimney draught excluder</t>
  </si>
  <si>
    <t>£4 for 6m</t>
  </si>
  <si>
    <t>£6.50 - £7 for 10m</t>
  </si>
  <si>
    <t>£7 for 10m
£11 for 20m</t>
  </si>
  <si>
    <t>£4.50 for 5m
£8 for 10m</t>
  </si>
  <si>
    <t>£7.50 - £20</t>
  </si>
  <si>
    <t>£5 - £13</t>
  </si>
  <si>
    <t>£13.50 - £47.50</t>
  </si>
  <si>
    <t>1 (no cost data)</t>
  </si>
  <si>
    <t>Company mainly does uPVC, also some aluminium.
Type and size (e.g. large Edwardian would add £1,500 to £3,300 cost above). 
Design complexity (e.g. bay windows)
Number of openers, splits. 
Decorative/coloured glass. 
Colour of frames - foil finishes, rosewood, mahogany.
Scaffolding if access issues and windows can't be fitted from inside (e.g. for conservatory or dormer windows)</t>
  </si>
  <si>
    <t>Material: 1 interviewee said aluminium approx. double uPVC cost; 1 interviewee said same for timber but another said 50% increase (min.).
Size, style.
Number of openers, dividers, splits.
Frame colours and finishes.
Scaffolding if needed (e.g. for conservatories, dormers, flats).
Bi-fold patio doors.
Distance from manufacturer.
Triple glazing (one suggested 15% increase).</t>
  </si>
  <si>
    <t>This spreadsheet sets out the results of a data-gathering exercise undertaken by CAR for DECC over the period Jan-Apr 2016. Cost data was gathered for a range of domestic retrofit measures from a range of organisations via interviews and email correspondence.
Organisations were asked to provide installed cost data from 2015/early 2016, and to comment on factors affecting the data. The data they provided is summarised on the other worksheets within this spreadsheet. Some DIY costs are additionally included for certain measures, based on internet searches of products on company websites. The measures included on the following worksheets are as follows:</t>
  </si>
  <si>
    <t>The costs presented are on an installed cost to household basis. They exclude 'hassle costs' and search costs.</t>
  </si>
  <si>
    <t xml:space="preserve">The 'low' and 'high' costs are based on the lowest and highest costs provided by participating organisations. They show the range of costs provided. The 'medium' costs are based on the mean values of all costs provided for each measure. </t>
  </si>
  <si>
    <t>Notes on additional costs</t>
  </si>
  <si>
    <t>Smaller-Medium</t>
  </si>
  <si>
    <t>Excluded as outlier</t>
  </si>
  <si>
    <t>DG</t>
  </si>
  <si>
    <t>SG</t>
  </si>
  <si>
    <t>Medium*</t>
  </si>
  <si>
    <t xml:space="preserve">* Different numbers of responses for different sizes of home distorted the 'Medium' costs given for oil boilers. Some of the smaller housetypes had a wider range of costs, with the 'high' costs given more costly than those for some of the larger housetypes. This means the average costs are skewed upwards for smaller dwellings.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</si>
</sst>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quot;£&quot;#,##0.00"/>
  </numFmts>
  <fonts count="21"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color theme="4" tint="-0.249977111117893"/>
      <name val="Calibri"/>
      <family val="2"/>
      <scheme val="minor"/>
    </font>
    <font>
      <b/>
      <sz val="11"/>
      <color theme="4" tint="-0.249977111117893"/>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indexed="8"/>
      <name val="Calibri"/>
      <family val="2"/>
    </font>
    <font>
      <u/>
      <sz val="11"/>
      <color theme="10"/>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i/>
      <sz val="11"/>
      <color indexed="8"/>
      <name val="Calibri"/>
      <family val="2"/>
      <scheme val="minor"/>
    </font>
    <font>
      <sz val="11"/>
      <name val="Calibri"/>
      <family val="2"/>
    </font>
    <font>
      <i/>
      <sz val="11"/>
      <color rgb="FFFF0000"/>
      <name val="Calibri"/>
      <family val="2"/>
      <scheme val="minor"/>
    </font>
    <font>
      <sz val="11"/>
      <color rgb="FF000000"/>
      <name val="Calibri"/>
      <family val="2"/>
      <scheme val="minor"/>
    </font>
    <font>
      <sz val="10"/>
      <color rgb="FF000000"/>
      <name val="Arial"/>
      <family val="2"/>
    </font>
    <font>
      <vertAlign val="superscrip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EBF1DE"/>
        <bgColor indexed="64"/>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157">
    <xf numFmtId="0" fontId="0" fillId="0" borderId="0" xfId="0"/>
    <xf numFmtId="0" fontId="0" fillId="2" borderId="0" xfId="0" applyFill="1"/>
    <xf numFmtId="0" fontId="1" fillId="2" borderId="0" xfId="0" applyFont="1" applyFill="1"/>
    <xf numFmtId="0" fontId="6" fillId="2" borderId="0" xfId="0" applyFont="1" applyFill="1"/>
    <xf numFmtId="0" fontId="0" fillId="2" borderId="0" xfId="0" applyFont="1" applyFill="1"/>
    <xf numFmtId="0" fontId="2" fillId="2" borderId="0" xfId="0" applyFont="1" applyFill="1" applyBorder="1" applyAlignment="1">
      <alignment vertical="center" wrapText="1"/>
    </xf>
    <xf numFmtId="0" fontId="0" fillId="2" borderId="0" xfId="0" applyFont="1" applyFill="1" applyBorder="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14" fontId="0" fillId="2" borderId="0" xfId="0" applyNumberFormat="1" applyFill="1" applyAlignment="1">
      <alignment horizontal="left"/>
    </xf>
    <xf numFmtId="0" fontId="4" fillId="2" borderId="0" xfId="0" applyFont="1" applyFill="1" applyAlignment="1">
      <alignment vertical="center"/>
    </xf>
    <xf numFmtId="0" fontId="0" fillId="2" borderId="0" xfId="0" applyNumberFormat="1" applyFill="1" applyAlignment="1">
      <alignment horizontal="left"/>
    </xf>
    <xf numFmtId="0" fontId="1" fillId="2" borderId="0" xfId="0" applyFont="1" applyFill="1" applyAlignment="1">
      <alignment horizontal="right" vertical="center"/>
    </xf>
    <xf numFmtId="0" fontId="7" fillId="2" borderId="0" xfId="0" applyFont="1" applyFill="1" applyAlignment="1">
      <alignment horizontal="right" vertical="center"/>
    </xf>
    <xf numFmtId="0" fontId="1" fillId="2"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xf>
    <xf numFmtId="0" fontId="1" fillId="2" borderId="0" xfId="0" applyFont="1" applyFill="1" applyAlignment="1">
      <alignment horizontal="center"/>
    </xf>
    <xf numFmtId="0" fontId="7" fillId="2" borderId="0" xfId="0" applyFont="1" applyFill="1" applyAlignment="1">
      <alignment horizontal="center"/>
    </xf>
    <xf numFmtId="0" fontId="0" fillId="3" borderId="7" xfId="0" applyFont="1" applyFill="1" applyBorder="1" applyAlignment="1">
      <alignment horizontal="right" vertical="center"/>
    </xf>
    <xf numFmtId="0" fontId="8" fillId="3" borderId="7" xfId="0" applyFont="1" applyFill="1" applyBorder="1" applyAlignment="1">
      <alignment horizontal="right" vertical="center"/>
    </xf>
    <xf numFmtId="0" fontId="6" fillId="2" borderId="0" xfId="0" applyFont="1" applyFill="1" applyAlignment="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3" borderId="5" xfId="0" applyFont="1" applyFill="1" applyBorder="1" applyAlignment="1"/>
    <xf numFmtId="0" fontId="1" fillId="3" borderId="7" xfId="0" applyFont="1" applyFill="1" applyBorder="1" applyAlignment="1"/>
    <xf numFmtId="0" fontId="10" fillId="2" borderId="0" xfId="1" applyFill="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3" borderId="19" xfId="0" applyFont="1" applyFill="1" applyBorder="1" applyAlignment="1">
      <alignment horizontal="right" vertical="center"/>
    </xf>
    <xf numFmtId="0" fontId="0" fillId="3" borderId="20" xfId="0" applyFont="1" applyFill="1" applyBorder="1" applyAlignment="1">
      <alignment horizontal="right" vertical="center"/>
    </xf>
    <xf numFmtId="0" fontId="0" fillId="3" borderId="21" xfId="0" applyFont="1" applyFill="1" applyBorder="1" applyAlignment="1">
      <alignment horizontal="right" vertical="center"/>
    </xf>
    <xf numFmtId="164" fontId="0" fillId="2" borderId="5" xfId="0" applyNumberFormat="1" applyFont="1" applyFill="1" applyBorder="1" applyAlignment="1">
      <alignment horizontal="center" vertical="center"/>
    </xf>
    <xf numFmtId="0" fontId="2" fillId="2" borderId="0" xfId="0" applyFont="1" applyFill="1" applyAlignment="1">
      <alignment horizontal="right"/>
    </xf>
    <xf numFmtId="0" fontId="0" fillId="2" borderId="0" xfId="0" applyFont="1" applyFill="1" applyAlignment="1">
      <alignment horizontal="center" vertical="center"/>
    </xf>
    <xf numFmtId="0" fontId="2" fillId="2" borderId="0" xfId="0" applyFont="1" applyFill="1" applyAlignment="1">
      <alignment horizontal="center" vertical="center"/>
    </xf>
    <xf numFmtId="0" fontId="0" fillId="2" borderId="1" xfId="0" applyFill="1" applyBorder="1" applyAlignment="1">
      <alignment horizontal="center" vertical="center"/>
    </xf>
    <xf numFmtId="0" fontId="0" fillId="2" borderId="0" xfId="0" applyFont="1" applyFill="1" applyAlignment="1">
      <alignment horizontal="center"/>
    </xf>
    <xf numFmtId="16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top" wrapText="1"/>
    </xf>
    <xf numFmtId="164" fontId="0" fillId="2" borderId="5"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0" fillId="2" borderId="13" xfId="0" applyNumberFormat="1" applyFont="1" applyFill="1" applyBorder="1" applyAlignment="1">
      <alignment horizontal="center" vertical="center"/>
    </xf>
    <xf numFmtId="164" fontId="0" fillId="2" borderId="14" xfId="0" applyNumberFormat="1" applyFont="1" applyFill="1" applyBorder="1" applyAlignment="1">
      <alignment horizontal="center" vertical="center"/>
    </xf>
    <xf numFmtId="164" fontId="0" fillId="2" borderId="15" xfId="0" applyNumberFormat="1" applyFont="1" applyFill="1" applyBorder="1" applyAlignment="1">
      <alignment horizontal="center" vertical="center"/>
    </xf>
    <xf numFmtId="164" fontId="0" fillId="2" borderId="16" xfId="0" applyNumberFormat="1" applyFont="1" applyFill="1" applyBorder="1" applyAlignment="1">
      <alignment horizontal="center" vertical="center"/>
    </xf>
    <xf numFmtId="164" fontId="0" fillId="2" borderId="17"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0" fillId="2" borderId="0" xfId="0" applyFont="1" applyFill="1" applyAlignment="1">
      <alignment horizontal="center" vertical="center" wrapText="1"/>
    </xf>
    <xf numFmtId="0" fontId="0" fillId="2" borderId="0" xfId="0" applyFont="1" applyFill="1" applyAlignment="1">
      <alignment horizontal="center" wrapText="1"/>
    </xf>
    <xf numFmtId="6" fontId="0" fillId="2" borderId="1" xfId="0" applyNumberFormat="1" applyFont="1" applyFill="1" applyBorder="1" applyAlignment="1">
      <alignment horizontal="center" vertical="center" wrapText="1"/>
    </xf>
    <xf numFmtId="0" fontId="15" fillId="2" borderId="0" xfId="0" applyFont="1" applyFill="1" applyAlignment="1">
      <alignment horizontal="center"/>
    </xf>
    <xf numFmtId="3" fontId="0" fillId="2" borderId="1" xfId="0" applyNumberFormat="1" applyFont="1" applyFill="1" applyBorder="1" applyAlignment="1">
      <alignment horizontal="center" vertical="center" wrapText="1"/>
    </xf>
    <xf numFmtId="165"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0" fillId="2" borderId="2"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0" fontId="17" fillId="2" borderId="0" xfId="0" applyFont="1" applyFill="1"/>
    <xf numFmtId="164" fontId="0" fillId="2" borderId="5"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5" fontId="0" fillId="2" borderId="0" xfId="0" applyNumberFormat="1" applyFill="1"/>
    <xf numFmtId="6" fontId="0" fillId="2" borderId="1" xfId="0" applyNumberFormat="1" applyFill="1" applyBorder="1" applyAlignment="1">
      <alignment horizontal="center" vertical="center"/>
    </xf>
    <xf numFmtId="0" fontId="0" fillId="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xf>
    <xf numFmtId="6" fontId="18" fillId="0" borderId="1" xfId="0" applyNumberFormat="1" applyFont="1" applyBorder="1" applyAlignment="1">
      <alignment horizontal="center"/>
    </xf>
    <xf numFmtId="165" fontId="0" fillId="2" borderId="5"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0" fontId="0" fillId="2" borderId="0" xfId="0" applyFill="1" applyAlignment="1">
      <alignment horizontal="center" vertical="center"/>
    </xf>
    <xf numFmtId="164" fontId="0" fillId="2" borderId="1" xfId="0" applyNumberFormat="1" applyFont="1" applyFill="1" applyBorder="1" applyAlignment="1">
      <alignment horizontal="center" vertical="center" wrapText="1"/>
    </xf>
    <xf numFmtId="165" fontId="0" fillId="2" borderId="13" xfId="0" applyNumberFormat="1" applyFont="1" applyFill="1" applyBorder="1" applyAlignment="1">
      <alignment horizontal="center" vertical="center"/>
    </xf>
    <xf numFmtId="165" fontId="0" fillId="2" borderId="14"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14"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7"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23" xfId="0" applyFont="1" applyFill="1" applyBorder="1" applyAlignment="1">
      <alignment horizontal="center" vertical="center"/>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6" fontId="19" fillId="6" borderId="26" xfId="0" applyNumberFormat="1" applyFont="1" applyFill="1" applyBorder="1" applyAlignment="1">
      <alignment horizontal="center" vertical="center" wrapText="1"/>
    </xf>
    <xf numFmtId="0" fontId="19" fillId="6" borderId="12" xfId="0" applyFont="1" applyFill="1" applyBorder="1" applyAlignment="1">
      <alignment horizontal="center" vertical="center"/>
    </xf>
    <xf numFmtId="0" fontId="19" fillId="6" borderId="26" xfId="0" applyFont="1" applyFill="1" applyBorder="1" applyAlignment="1">
      <alignment horizontal="center" vertical="center"/>
    </xf>
    <xf numFmtId="164" fontId="0" fillId="2" borderId="5" xfId="0" applyNumberFormat="1" applyFont="1" applyFill="1" applyBorder="1" applyAlignment="1">
      <alignment horizontal="center" vertical="center" wrapText="1"/>
    </xf>
    <xf numFmtId="164" fontId="0" fillId="2" borderId="5"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wrapText="1"/>
    </xf>
    <xf numFmtId="164" fontId="0" fillId="2" borderId="15" xfId="0" applyNumberFormat="1" applyFont="1" applyFill="1" applyBorder="1" applyAlignment="1">
      <alignment horizontal="center" vertical="center" wrapText="1"/>
    </xf>
    <xf numFmtId="164" fontId="0" fillId="2" borderId="16" xfId="0" applyNumberFormat="1" applyFont="1" applyFill="1" applyBorder="1" applyAlignment="1">
      <alignment horizontal="center" vertical="center" wrapText="1"/>
    </xf>
    <xf numFmtId="164" fontId="0" fillId="2" borderId="17" xfId="0" applyNumberFormat="1" applyFont="1" applyFill="1" applyBorder="1" applyAlignment="1">
      <alignment horizontal="center" vertical="center" wrapText="1"/>
    </xf>
    <xf numFmtId="0" fontId="0" fillId="3" borderId="29"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0" xfId="0" applyFont="1" applyFill="1" applyAlignment="1">
      <alignment horizontal="left"/>
    </xf>
    <xf numFmtId="164" fontId="14" fillId="2" borderId="5" xfId="0" applyNumberFormat="1" applyFont="1" applyFill="1" applyBorder="1" applyAlignment="1">
      <alignment horizontal="center" vertical="center"/>
    </xf>
    <xf numFmtId="0" fontId="11" fillId="2" borderId="0" xfId="0" applyFont="1" applyFill="1" applyAlignment="1">
      <alignment wrapText="1"/>
    </xf>
    <xf numFmtId="0" fontId="14" fillId="2"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4" fillId="2" borderId="0" xfId="0" applyFont="1" applyFill="1" applyAlignment="1">
      <alignment horizontal="left" vertical="center" wrapText="1"/>
    </xf>
    <xf numFmtId="0" fontId="11" fillId="2" borderId="0" xfId="0" applyFont="1" applyFill="1" applyAlignment="1">
      <alignment horizontal="left" vertical="center" wrapText="1"/>
    </xf>
    <xf numFmtId="0" fontId="0" fillId="3" borderId="22" xfId="0" applyFill="1" applyBorder="1" applyAlignment="1">
      <alignment horizontal="center"/>
    </xf>
    <xf numFmtId="0" fontId="0" fillId="3" borderId="23" xfId="0" applyFill="1" applyBorder="1" applyAlignment="1">
      <alignment horizontal="center"/>
    </xf>
    <xf numFmtId="0" fontId="0" fillId="3" borderId="18"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3" borderId="1" xfId="0" applyFont="1" applyFill="1" applyBorder="1" applyAlignment="1">
      <alignment horizontal="left" vertical="center"/>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1" xfId="0" applyFont="1" applyFill="1" applyBorder="1" applyAlignment="1">
      <alignment horizontal="left" vertical="center" wrapText="1"/>
    </xf>
    <xf numFmtId="164" fontId="0" fillId="2" borderId="2" xfId="0"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164" fontId="0" fillId="2" borderId="4" xfId="0" applyNumberFormat="1" applyFont="1" applyFill="1" applyBorder="1" applyAlignment="1">
      <alignment horizontal="center" vertical="center" wrapText="1"/>
    </xf>
    <xf numFmtId="164" fontId="0" fillId="2" borderId="5" xfId="0" applyNumberFormat="1" applyFont="1" applyFill="1" applyBorder="1" applyAlignment="1">
      <alignment horizontal="center" vertical="center" wrapText="1"/>
    </xf>
    <xf numFmtId="164" fontId="0" fillId="2" borderId="6" xfId="0" applyNumberFormat="1" applyFont="1" applyFill="1" applyBorder="1" applyAlignment="1">
      <alignment horizontal="center" vertical="center" wrapText="1"/>
    </xf>
    <xf numFmtId="164" fontId="0" fillId="2" borderId="7"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164" fontId="0" fillId="2" borderId="5" xfId="0" applyNumberFormat="1" applyFont="1" applyFill="1" applyBorder="1" applyAlignment="1">
      <alignment horizontal="center" vertical="center"/>
    </xf>
    <xf numFmtId="164" fontId="0" fillId="2" borderId="6" xfId="0" applyNumberFormat="1" applyFont="1" applyFill="1" applyBorder="1" applyAlignment="1">
      <alignment horizontal="center" vertical="center"/>
    </xf>
    <xf numFmtId="164" fontId="0" fillId="2" borderId="7" xfId="0" applyNumberFormat="1" applyFont="1" applyFill="1" applyBorder="1" applyAlignment="1">
      <alignment horizontal="center"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164" fontId="0" fillId="2" borderId="3" xfId="0" applyNumberFormat="1" applyFont="1" applyFill="1" applyBorder="1" applyAlignment="1">
      <alignment horizontal="center" vertical="center"/>
    </xf>
    <xf numFmtId="164" fontId="0" fillId="2" borderId="4" xfId="0" applyNumberFormat="1" applyFont="1" applyFill="1" applyBorder="1" applyAlignment="1">
      <alignment horizontal="center" vertical="center"/>
    </xf>
    <xf numFmtId="0" fontId="19" fillId="6" borderId="28"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25" xfId="0" applyFont="1" applyFill="1" applyBorder="1" applyAlignment="1">
      <alignment horizontal="center" vertical="center" wrapText="1"/>
    </xf>
    <xf numFmtId="164" fontId="0" fillId="2" borderId="2"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wrapText="1"/>
    </xf>
    <xf numFmtId="0" fontId="0" fillId="2" borderId="30" xfId="0" applyFill="1" applyBorder="1" applyAlignment="1">
      <alignment horizontal="left" wrapText="1"/>
    </xf>
    <xf numFmtId="0" fontId="0" fillId="0" borderId="30" xfId="0" applyBorder="1" applyAlignment="1">
      <alignment wrapTex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1"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4619625</xdr:colOff>
      <xdr:row>0</xdr:row>
      <xdr:rowOff>918111</xdr:rowOff>
    </xdr:to>
    <xdr:pic>
      <xdr:nvPicPr>
        <xdr:cNvPr id="2" name="Picture 1" descr="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8562975" cy="918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41"/>
  <sheetViews>
    <sheetView tabSelected="1" workbookViewId="0">
      <selection activeCell="B30" sqref="B30"/>
    </sheetView>
  </sheetViews>
  <sheetFormatPr defaultColWidth="9.109375" defaultRowHeight="14.4" x14ac:dyDescent="0.3"/>
  <cols>
    <col min="1" max="1" width="44.6640625" style="1" customWidth="1"/>
    <col min="2" max="2" width="15" style="1" customWidth="1"/>
    <col min="3" max="3" width="69.6640625" style="1" customWidth="1"/>
    <col min="4" max="16384" width="9.109375" style="1"/>
  </cols>
  <sheetData>
    <row r="1" spans="1:3" ht="75.75" customHeight="1" x14ac:dyDescent="0.3"/>
    <row r="3" spans="1:3" x14ac:dyDescent="0.3">
      <c r="A3" s="2" t="s">
        <v>22</v>
      </c>
      <c r="B3" s="1" t="s">
        <v>24</v>
      </c>
    </row>
    <row r="4" spans="1:3" x14ac:dyDescent="0.3">
      <c r="A4" s="2" t="s">
        <v>23</v>
      </c>
      <c r="B4" s="9">
        <v>42474</v>
      </c>
    </row>
    <row r="5" spans="1:3" x14ac:dyDescent="0.3">
      <c r="A5" s="2" t="s">
        <v>25</v>
      </c>
      <c r="B5" s="11">
        <v>8</v>
      </c>
    </row>
    <row r="6" spans="1:3" x14ac:dyDescent="0.3">
      <c r="A6" s="2"/>
      <c r="B6" s="2"/>
    </row>
    <row r="7" spans="1:3" ht="39" customHeight="1" x14ac:dyDescent="0.3">
      <c r="A7" s="109" t="s">
        <v>800</v>
      </c>
      <c r="B7" s="109"/>
      <c r="C7" s="109"/>
    </row>
    <row r="8" spans="1:3" x14ac:dyDescent="0.3">
      <c r="A8" s="10"/>
    </row>
    <row r="9" spans="1:3" x14ac:dyDescent="0.3">
      <c r="A9" s="8" t="s">
        <v>59</v>
      </c>
      <c r="B9" s="23" t="s">
        <v>60</v>
      </c>
    </row>
    <row r="10" spans="1:3" x14ac:dyDescent="0.3">
      <c r="A10" s="8" t="s">
        <v>19</v>
      </c>
      <c r="B10" s="16"/>
    </row>
    <row r="11" spans="1:3" x14ac:dyDescent="0.3">
      <c r="A11" s="7" t="s">
        <v>0</v>
      </c>
      <c r="B11" s="26" t="s">
        <v>50</v>
      </c>
    </row>
    <row r="12" spans="1:3" x14ac:dyDescent="0.3">
      <c r="A12" s="7" t="s">
        <v>4</v>
      </c>
      <c r="B12" s="26" t="s">
        <v>51</v>
      </c>
    </row>
    <row r="13" spans="1:3" x14ac:dyDescent="0.3">
      <c r="A13" s="7" t="s">
        <v>5</v>
      </c>
      <c r="B13" s="26" t="s">
        <v>52</v>
      </c>
    </row>
    <row r="14" spans="1:3" ht="14.25" customHeight="1" x14ac:dyDescent="0.3">
      <c r="A14" s="7" t="s">
        <v>6</v>
      </c>
      <c r="B14" s="26" t="s">
        <v>77</v>
      </c>
    </row>
    <row r="15" spans="1:3" ht="14.25" customHeight="1" x14ac:dyDescent="0.3">
      <c r="A15" s="3"/>
      <c r="B15" s="22"/>
    </row>
    <row r="16" spans="1:3" ht="14.25" customHeight="1" x14ac:dyDescent="0.3">
      <c r="A16" s="8" t="s">
        <v>57</v>
      </c>
      <c r="B16" s="22"/>
    </row>
    <row r="17" spans="1:2" ht="14.25" customHeight="1" x14ac:dyDescent="0.3">
      <c r="A17" s="7" t="s">
        <v>7</v>
      </c>
      <c r="B17" s="26" t="s">
        <v>64</v>
      </c>
    </row>
    <row r="18" spans="1:2" ht="14.25" customHeight="1" x14ac:dyDescent="0.3">
      <c r="A18" s="7" t="s">
        <v>8</v>
      </c>
      <c r="B18" s="26" t="s">
        <v>65</v>
      </c>
    </row>
    <row r="19" spans="1:2" ht="14.25" customHeight="1" x14ac:dyDescent="0.3">
      <c r="A19" s="7" t="s">
        <v>9</v>
      </c>
      <c r="B19" s="26" t="s">
        <v>66</v>
      </c>
    </row>
    <row r="20" spans="1:2" ht="14.25" customHeight="1" x14ac:dyDescent="0.3">
      <c r="A20" s="7"/>
      <c r="B20" s="22"/>
    </row>
    <row r="21" spans="1:2" ht="14.25" customHeight="1" x14ac:dyDescent="0.3">
      <c r="A21" s="8" t="s">
        <v>58</v>
      </c>
      <c r="B21" s="22"/>
    </row>
    <row r="22" spans="1:2" ht="14.25" customHeight="1" x14ac:dyDescent="0.3">
      <c r="A22" s="7" t="s">
        <v>10</v>
      </c>
      <c r="B22" s="26" t="s">
        <v>63</v>
      </c>
    </row>
    <row r="23" spans="1:2" ht="14.25" customHeight="1" x14ac:dyDescent="0.3">
      <c r="B23" s="22"/>
    </row>
    <row r="24" spans="1:2" ht="14.25" customHeight="1" x14ac:dyDescent="0.3">
      <c r="A24" s="8" t="s">
        <v>20</v>
      </c>
      <c r="B24" s="22"/>
    </row>
    <row r="25" spans="1:2" ht="14.25" customHeight="1" x14ac:dyDescent="0.3">
      <c r="A25" s="7" t="s">
        <v>12</v>
      </c>
      <c r="B25" s="26" t="s">
        <v>806</v>
      </c>
    </row>
    <row r="26" spans="1:2" ht="14.25" customHeight="1" x14ac:dyDescent="0.3">
      <c r="A26" s="7" t="s">
        <v>14</v>
      </c>
      <c r="B26" s="26" t="s">
        <v>807</v>
      </c>
    </row>
    <row r="27" spans="1:2" ht="14.25" customHeight="1" x14ac:dyDescent="0.3">
      <c r="B27" s="22"/>
    </row>
    <row r="28" spans="1:2" ht="14.25" customHeight="1" x14ac:dyDescent="0.3">
      <c r="A28" s="8" t="s">
        <v>21</v>
      </c>
      <c r="B28" s="22"/>
    </row>
    <row r="29" spans="1:2" ht="14.25" customHeight="1" x14ac:dyDescent="0.3">
      <c r="A29" s="7" t="s">
        <v>16</v>
      </c>
      <c r="B29" s="26" t="s">
        <v>53</v>
      </c>
    </row>
    <row r="30" spans="1:2" ht="14.25" customHeight="1" x14ac:dyDescent="0.3">
      <c r="A30" s="7" t="s">
        <v>17</v>
      </c>
      <c r="B30" s="26" t="s">
        <v>54</v>
      </c>
    </row>
    <row r="31" spans="1:2" ht="14.25" customHeight="1" x14ac:dyDescent="0.3">
      <c r="A31" s="7" t="s">
        <v>83</v>
      </c>
      <c r="B31" s="26" t="s">
        <v>61</v>
      </c>
    </row>
    <row r="32" spans="1:2" ht="14.25" customHeight="1" x14ac:dyDescent="0.3">
      <c r="A32" s="7" t="s">
        <v>18</v>
      </c>
      <c r="B32" s="26" t="s">
        <v>62</v>
      </c>
    </row>
    <row r="33" spans="1:3" ht="14.25" customHeight="1" x14ac:dyDescent="0.3">
      <c r="B33" s="22"/>
    </row>
    <row r="34" spans="1:3" ht="14.25" customHeight="1" x14ac:dyDescent="0.3">
      <c r="A34" s="8" t="s">
        <v>15</v>
      </c>
      <c r="B34" s="26" t="s">
        <v>55</v>
      </c>
    </row>
    <row r="35" spans="1:3" ht="14.25" customHeight="1" x14ac:dyDescent="0.3">
      <c r="A35" s="8" t="s">
        <v>11</v>
      </c>
      <c r="B35" s="26" t="s">
        <v>56</v>
      </c>
    </row>
    <row r="37" spans="1:3" x14ac:dyDescent="0.3">
      <c r="A37" s="2" t="s">
        <v>94</v>
      </c>
    </row>
    <row r="39" spans="1:3" x14ac:dyDescent="0.3">
      <c r="A39" s="109" t="s">
        <v>801</v>
      </c>
      <c r="B39" s="109"/>
      <c r="C39" s="109"/>
    </row>
    <row r="40" spans="1:3" ht="32.25" customHeight="1" x14ac:dyDescent="0.3">
      <c r="A40" s="109" t="s">
        <v>802</v>
      </c>
      <c r="B40" s="109"/>
      <c r="C40" s="109"/>
    </row>
    <row r="41" spans="1:3" ht="14.25" customHeight="1" x14ac:dyDescent="0.3">
      <c r="A41" s="110"/>
      <c r="B41" s="110"/>
      <c r="C41" s="110"/>
    </row>
  </sheetData>
  <mergeCells count="4">
    <mergeCell ref="A7:C7"/>
    <mergeCell ref="A39:C39"/>
    <mergeCell ref="A40:C40"/>
    <mergeCell ref="A41:C41"/>
  </mergeCells>
  <hyperlinks>
    <hyperlink ref="B11" location="IWI!A1" display="IWI"/>
    <hyperlink ref="B12" location="EWI!A1" display="EWI"/>
    <hyperlink ref="B13" location="CWI!A1" display="CWI"/>
    <hyperlink ref="B14" location="PWI!A1" display="PWI"/>
    <hyperlink ref="B17" location="'R1'!A1" display="R1"/>
    <hyperlink ref="B18" location="'R2'!A1" display="R2"/>
    <hyperlink ref="B34" location="LED!A1" display="LED"/>
    <hyperlink ref="B35" location="DP!A1" display="DP"/>
    <hyperlink ref="B19" location="'R3'!A1" display="R3"/>
    <hyperlink ref="B22" location="'F1'!A1" display="F1"/>
    <hyperlink ref="B25" location="DG!A1" display="DG"/>
    <hyperlink ref="B26" location="SG!A1" display="SG"/>
    <hyperlink ref="B29" location="GAS!A1" display="Gas"/>
    <hyperlink ref="B30" location="OIL!A1" display="Oil"/>
    <hyperlink ref="B31" location="CH!A1" display="CH"/>
    <hyperlink ref="B32" location="HWC!A1" display="HWC"/>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L76"/>
  <sheetViews>
    <sheetView topLeftCell="A2" zoomScale="70" zoomScaleNormal="70" workbookViewId="0">
      <selection activeCell="F18" sqref="F18"/>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84</v>
      </c>
      <c r="B1" s="25"/>
    </row>
    <row r="2" spans="1:8" ht="48" customHeight="1" x14ac:dyDescent="0.3">
      <c r="A2" s="21" t="s">
        <v>33</v>
      </c>
    </row>
    <row r="3" spans="1:8" ht="43.2" x14ac:dyDescent="0.3">
      <c r="C3" s="15" t="s">
        <v>28</v>
      </c>
      <c r="D3" s="15" t="s">
        <v>30</v>
      </c>
      <c r="E3" s="15" t="s">
        <v>29</v>
      </c>
      <c r="F3" s="14" t="s">
        <v>124</v>
      </c>
      <c r="G3" s="14" t="s">
        <v>31</v>
      </c>
      <c r="H3" s="14" t="s">
        <v>32</v>
      </c>
    </row>
    <row r="4" spans="1:8" x14ac:dyDescent="0.3">
      <c r="A4" s="139" t="s">
        <v>34</v>
      </c>
      <c r="B4" s="139"/>
      <c r="C4" s="136" t="s">
        <v>473</v>
      </c>
      <c r="D4" s="137"/>
      <c r="E4" s="138"/>
      <c r="F4" s="37">
        <v>3</v>
      </c>
      <c r="G4" s="123" t="s">
        <v>474</v>
      </c>
      <c r="H4" s="123" t="s">
        <v>475</v>
      </c>
    </row>
    <row r="5" spans="1:8" ht="72" x14ac:dyDescent="0.3">
      <c r="A5" s="139" t="s">
        <v>85</v>
      </c>
      <c r="B5" s="139"/>
      <c r="C5" s="41" t="s">
        <v>452</v>
      </c>
      <c r="D5" s="55" t="s">
        <v>108</v>
      </c>
      <c r="E5" s="54">
        <v>95</v>
      </c>
      <c r="F5" s="37">
        <v>2</v>
      </c>
      <c r="G5" s="124"/>
      <c r="H5" s="124"/>
    </row>
    <row r="6" spans="1:8" x14ac:dyDescent="0.3">
      <c r="A6" s="141" t="s">
        <v>3</v>
      </c>
      <c r="B6" s="20" t="s">
        <v>39</v>
      </c>
      <c r="C6" s="55" t="s">
        <v>108</v>
      </c>
      <c r="D6" s="55" t="s">
        <v>108</v>
      </c>
      <c r="E6" s="55" t="s">
        <v>108</v>
      </c>
      <c r="F6" s="37">
        <v>0</v>
      </c>
      <c r="G6" s="124"/>
      <c r="H6" s="124"/>
    </row>
    <row r="7" spans="1:8" x14ac:dyDescent="0.3">
      <c r="A7" s="141"/>
      <c r="B7" s="20" t="s">
        <v>40</v>
      </c>
      <c r="C7" s="55" t="s">
        <v>108</v>
      </c>
      <c r="D7" s="55" t="s">
        <v>108</v>
      </c>
      <c r="E7" s="55" t="s">
        <v>108</v>
      </c>
      <c r="F7" s="37">
        <v>0</v>
      </c>
      <c r="G7" s="124"/>
      <c r="H7" s="124"/>
    </row>
    <row r="8" spans="1:8" x14ac:dyDescent="0.3">
      <c r="A8" s="141"/>
      <c r="B8" s="20" t="s">
        <v>41</v>
      </c>
      <c r="C8" s="55" t="s">
        <v>108</v>
      </c>
      <c r="D8" s="55" t="s">
        <v>108</v>
      </c>
      <c r="E8" s="55" t="s">
        <v>108</v>
      </c>
      <c r="F8" s="37">
        <v>0</v>
      </c>
      <c r="G8" s="124"/>
      <c r="H8" s="124"/>
    </row>
    <row r="9" spans="1:8" x14ac:dyDescent="0.3">
      <c r="A9" s="141"/>
      <c r="B9" s="20" t="s">
        <v>42</v>
      </c>
      <c r="C9" s="55" t="s">
        <v>108</v>
      </c>
      <c r="D9" s="55">
        <f>E30</f>
        <v>550</v>
      </c>
      <c r="E9" s="55" t="s">
        <v>108</v>
      </c>
      <c r="F9" s="37">
        <v>1</v>
      </c>
      <c r="G9" s="124"/>
      <c r="H9" s="124"/>
    </row>
    <row r="10" spans="1:8" x14ac:dyDescent="0.3">
      <c r="A10" s="141"/>
      <c r="B10" s="20" t="s">
        <v>97</v>
      </c>
      <c r="C10" s="55" t="s">
        <v>108</v>
      </c>
      <c r="D10" s="55" t="s">
        <v>108</v>
      </c>
      <c r="E10" s="55" t="s">
        <v>108</v>
      </c>
      <c r="F10" s="37">
        <v>0</v>
      </c>
      <c r="G10" s="124"/>
      <c r="H10" s="124"/>
    </row>
    <row r="11" spans="1:8" x14ac:dyDescent="0.3">
      <c r="A11" s="141"/>
      <c r="B11" s="20" t="s">
        <v>98</v>
      </c>
      <c r="C11" s="55" t="s">
        <v>108</v>
      </c>
      <c r="D11" s="55">
        <f>E32</f>
        <v>750</v>
      </c>
      <c r="E11" s="55" t="s">
        <v>108</v>
      </c>
      <c r="F11" s="37">
        <v>1</v>
      </c>
      <c r="G11" s="124"/>
      <c r="H11" s="124"/>
    </row>
    <row r="12" spans="1:8" x14ac:dyDescent="0.3">
      <c r="A12" s="141"/>
      <c r="B12" s="20" t="s">
        <v>43</v>
      </c>
      <c r="C12" s="55" t="s">
        <v>108</v>
      </c>
      <c r="D12" s="55" t="s">
        <v>108</v>
      </c>
      <c r="E12" s="55" t="s">
        <v>108</v>
      </c>
      <c r="F12" s="37">
        <v>0</v>
      </c>
      <c r="G12" s="124"/>
      <c r="H12" s="124"/>
    </row>
    <row r="13" spans="1:8" x14ac:dyDescent="0.3">
      <c r="A13" s="141"/>
      <c r="B13" s="20" t="s">
        <v>44</v>
      </c>
      <c r="C13" s="55" t="s">
        <v>108</v>
      </c>
      <c r="D13" s="55">
        <f>E34</f>
        <v>900</v>
      </c>
      <c r="E13" s="55" t="s">
        <v>108</v>
      </c>
      <c r="F13" s="37">
        <v>1</v>
      </c>
      <c r="G13" s="124"/>
      <c r="H13" s="124"/>
    </row>
    <row r="14" spans="1:8" x14ac:dyDescent="0.3">
      <c r="A14" s="141"/>
      <c r="B14" s="20" t="s">
        <v>45</v>
      </c>
      <c r="C14" s="55" t="s">
        <v>108</v>
      </c>
      <c r="D14" s="55" t="s">
        <v>108</v>
      </c>
      <c r="E14" s="55" t="s">
        <v>108</v>
      </c>
      <c r="F14" s="37">
        <v>0</v>
      </c>
      <c r="G14" s="125"/>
      <c r="H14" s="125"/>
    </row>
    <row r="15" spans="1:8" ht="44.25" customHeight="1" x14ac:dyDescent="0.3">
      <c r="A15" s="21" t="s">
        <v>49</v>
      </c>
      <c r="C15" s="62">
        <v>1</v>
      </c>
      <c r="D15" s="62">
        <v>25</v>
      </c>
      <c r="E15" s="62">
        <v>27</v>
      </c>
      <c r="F15" s="62">
        <v>29</v>
      </c>
      <c r="G15" s="62">
        <v>32</v>
      </c>
      <c r="H15" s="62"/>
    </row>
    <row r="16" spans="1:8" x14ac:dyDescent="0.3">
      <c r="B16" s="13" t="s">
        <v>26</v>
      </c>
      <c r="C16" s="18">
        <v>1</v>
      </c>
      <c r="D16" s="18">
        <v>2</v>
      </c>
      <c r="E16" s="18">
        <v>3</v>
      </c>
      <c r="F16" s="18">
        <v>4</v>
      </c>
      <c r="G16" s="18">
        <v>5</v>
      </c>
      <c r="H16" s="62"/>
    </row>
    <row r="17" spans="1:12" x14ac:dyDescent="0.3">
      <c r="A17" s="139" t="s">
        <v>35</v>
      </c>
      <c r="B17" s="139"/>
      <c r="C17" s="37" t="s">
        <v>126</v>
      </c>
      <c r="D17" s="37" t="s">
        <v>142</v>
      </c>
      <c r="E17" s="37" t="s">
        <v>288</v>
      </c>
      <c r="F17" s="37" t="s">
        <v>804</v>
      </c>
      <c r="G17" s="37" t="s">
        <v>142</v>
      </c>
      <c r="H17" s="62"/>
    </row>
    <row r="18" spans="1:12" ht="100.8" x14ac:dyDescent="0.3">
      <c r="A18" s="139" t="s">
        <v>36</v>
      </c>
      <c r="B18" s="139"/>
      <c r="C18" s="43" t="s">
        <v>258</v>
      </c>
      <c r="D18" s="43" t="s">
        <v>178</v>
      </c>
      <c r="E18" s="43" t="s">
        <v>464</v>
      </c>
      <c r="F18" s="43" t="s">
        <v>414</v>
      </c>
      <c r="G18" s="43" t="s">
        <v>430</v>
      </c>
      <c r="H18" s="62"/>
    </row>
    <row r="19" spans="1:12" ht="57.6" x14ac:dyDescent="0.3">
      <c r="A19" s="139" t="s">
        <v>37</v>
      </c>
      <c r="B19" s="139"/>
      <c r="C19" s="37" t="s">
        <v>100</v>
      </c>
      <c r="D19" s="43" t="s">
        <v>179</v>
      </c>
      <c r="E19" s="43" t="s">
        <v>455</v>
      </c>
      <c r="F19" s="43" t="s">
        <v>415</v>
      </c>
      <c r="G19" s="37" t="s">
        <v>108</v>
      </c>
      <c r="H19" s="62"/>
    </row>
    <row r="20" spans="1:12" ht="28.8" x14ac:dyDescent="0.3">
      <c r="A20" s="140" t="s">
        <v>38</v>
      </c>
      <c r="B20" s="140"/>
      <c r="C20" s="37" t="s">
        <v>131</v>
      </c>
      <c r="D20" s="37" t="s">
        <v>115</v>
      </c>
      <c r="E20" s="37" t="s">
        <v>108</v>
      </c>
      <c r="F20" s="43" t="s">
        <v>305</v>
      </c>
      <c r="G20" s="37" t="s">
        <v>115</v>
      </c>
      <c r="H20" s="62"/>
    </row>
    <row r="21" spans="1:12" x14ac:dyDescent="0.3">
      <c r="A21" s="122" t="s">
        <v>27</v>
      </c>
      <c r="B21" s="122"/>
      <c r="C21" s="37">
        <v>4</v>
      </c>
      <c r="D21" s="37">
        <v>3</v>
      </c>
      <c r="E21" s="37">
        <v>4</v>
      </c>
      <c r="F21" s="37">
        <v>2</v>
      </c>
      <c r="G21" s="37">
        <v>2</v>
      </c>
      <c r="J21" s="58"/>
      <c r="K21" s="58"/>
      <c r="L21" s="36"/>
    </row>
    <row r="22" spans="1:12" x14ac:dyDescent="0.3">
      <c r="C22" s="38"/>
      <c r="D22" s="16"/>
      <c r="E22" s="16"/>
      <c r="F22" s="16"/>
      <c r="G22" s="16"/>
      <c r="H22" s="62"/>
    </row>
    <row r="23" spans="1:12" x14ac:dyDescent="0.3">
      <c r="A23" s="122" t="s">
        <v>2</v>
      </c>
      <c r="B23" s="122"/>
      <c r="C23" s="55" t="s">
        <v>108</v>
      </c>
      <c r="D23" s="55">
        <v>3800</v>
      </c>
      <c r="E23" s="55">
        <v>1000</v>
      </c>
      <c r="F23" s="55" t="s">
        <v>108</v>
      </c>
      <c r="G23" s="55">
        <v>1900</v>
      </c>
      <c r="H23" s="62"/>
    </row>
    <row r="24" spans="1:12" ht="28.8" x14ac:dyDescent="0.3">
      <c r="A24" s="122" t="s">
        <v>13</v>
      </c>
      <c r="B24" s="122"/>
      <c r="C24" s="55" t="s">
        <v>108</v>
      </c>
      <c r="D24" s="55" t="s">
        <v>457</v>
      </c>
      <c r="E24" s="55" t="s">
        <v>458</v>
      </c>
      <c r="F24" s="55" t="s">
        <v>108</v>
      </c>
      <c r="G24" s="41" t="s">
        <v>459</v>
      </c>
      <c r="H24" s="62"/>
    </row>
    <row r="25" spans="1:12" ht="28.8" x14ac:dyDescent="0.3">
      <c r="A25" s="122" t="s">
        <v>1</v>
      </c>
      <c r="B25" s="122"/>
      <c r="C25" s="55" t="s">
        <v>100</v>
      </c>
      <c r="D25" s="55" t="s">
        <v>101</v>
      </c>
      <c r="E25" s="55" t="s">
        <v>456</v>
      </c>
      <c r="F25" s="55" t="s">
        <v>416</v>
      </c>
      <c r="G25" s="41" t="s">
        <v>431</v>
      </c>
      <c r="H25" s="62"/>
    </row>
    <row r="26" spans="1:12" ht="72" x14ac:dyDescent="0.3">
      <c r="A26" s="122" t="s">
        <v>320</v>
      </c>
      <c r="B26" s="122"/>
      <c r="C26" s="41" t="s">
        <v>452</v>
      </c>
      <c r="D26" s="55">
        <v>95</v>
      </c>
      <c r="E26" s="55" t="s">
        <v>108</v>
      </c>
      <c r="F26" s="70" t="s">
        <v>417</v>
      </c>
      <c r="G26" s="55" t="s">
        <v>108</v>
      </c>
      <c r="H26" s="62"/>
    </row>
    <row r="27" spans="1:12" x14ac:dyDescent="0.3">
      <c r="A27" s="133" t="s">
        <v>3</v>
      </c>
      <c r="B27" s="19" t="s">
        <v>39</v>
      </c>
      <c r="C27" s="55" t="s">
        <v>108</v>
      </c>
      <c r="D27" s="55" t="s">
        <v>108</v>
      </c>
      <c r="E27" s="55" t="s">
        <v>468</v>
      </c>
      <c r="F27" s="55" t="s">
        <v>108</v>
      </c>
      <c r="G27" s="55" t="s">
        <v>108</v>
      </c>
      <c r="H27" s="62"/>
    </row>
    <row r="28" spans="1:12" x14ac:dyDescent="0.3">
      <c r="A28" s="134"/>
      <c r="B28" s="19" t="s">
        <v>40</v>
      </c>
      <c r="C28" s="55" t="s">
        <v>108</v>
      </c>
      <c r="D28" s="55" t="s">
        <v>108</v>
      </c>
      <c r="E28" s="55" t="s">
        <v>468</v>
      </c>
      <c r="F28" s="55" t="s">
        <v>108</v>
      </c>
      <c r="G28" s="55" t="s">
        <v>108</v>
      </c>
      <c r="H28" s="62"/>
    </row>
    <row r="29" spans="1:12" x14ac:dyDescent="0.3">
      <c r="A29" s="134"/>
      <c r="B29" s="19" t="s">
        <v>41</v>
      </c>
      <c r="C29" s="55" t="s">
        <v>108</v>
      </c>
      <c r="D29" s="55" t="s">
        <v>108</v>
      </c>
      <c r="E29" s="55" t="s">
        <v>108</v>
      </c>
      <c r="F29" s="55" t="s">
        <v>108</v>
      </c>
      <c r="G29" s="55" t="s">
        <v>108</v>
      </c>
      <c r="H29" s="62"/>
    </row>
    <row r="30" spans="1:12" x14ac:dyDescent="0.3">
      <c r="A30" s="134"/>
      <c r="B30" s="19" t="s">
        <v>42</v>
      </c>
      <c r="C30" s="55" t="s">
        <v>108</v>
      </c>
      <c r="D30" s="55" t="s">
        <v>108</v>
      </c>
      <c r="E30" s="55">
        <v>550</v>
      </c>
      <c r="F30" s="55" t="s">
        <v>108</v>
      </c>
      <c r="G30" s="55" t="s">
        <v>108</v>
      </c>
      <c r="H30" s="62"/>
    </row>
    <row r="31" spans="1:12" x14ac:dyDescent="0.3">
      <c r="A31" s="134"/>
      <c r="B31" s="19" t="s">
        <v>97</v>
      </c>
      <c r="C31" s="55" t="s">
        <v>108</v>
      </c>
      <c r="D31" s="55" t="s">
        <v>108</v>
      </c>
      <c r="E31" s="55" t="s">
        <v>108</v>
      </c>
      <c r="F31" s="55" t="s">
        <v>108</v>
      </c>
      <c r="G31" s="55" t="s">
        <v>108</v>
      </c>
      <c r="H31" s="62"/>
    </row>
    <row r="32" spans="1:12" x14ac:dyDescent="0.3">
      <c r="A32" s="134"/>
      <c r="B32" s="19" t="s">
        <v>98</v>
      </c>
      <c r="C32" s="55" t="s">
        <v>108</v>
      </c>
      <c r="D32" s="55" t="s">
        <v>108</v>
      </c>
      <c r="E32" s="55">
        <v>750</v>
      </c>
      <c r="F32" s="55" t="s">
        <v>108</v>
      </c>
      <c r="G32" s="55" t="s">
        <v>108</v>
      </c>
      <c r="H32" s="62"/>
    </row>
    <row r="33" spans="1:8" x14ac:dyDescent="0.3">
      <c r="A33" s="134"/>
      <c r="B33" s="19" t="s">
        <v>43</v>
      </c>
      <c r="C33" s="55" t="s">
        <v>108</v>
      </c>
      <c r="D33" s="55" t="s">
        <v>108</v>
      </c>
      <c r="E33" s="55" t="s">
        <v>108</v>
      </c>
      <c r="F33" s="55" t="s">
        <v>108</v>
      </c>
      <c r="G33" s="55" t="s">
        <v>108</v>
      </c>
      <c r="H33" s="62"/>
    </row>
    <row r="34" spans="1:8" x14ac:dyDescent="0.3">
      <c r="A34" s="134"/>
      <c r="B34" s="19" t="s">
        <v>44</v>
      </c>
      <c r="C34" s="55" t="s">
        <v>108</v>
      </c>
      <c r="D34" s="55" t="s">
        <v>108</v>
      </c>
      <c r="E34" s="55">
        <v>900</v>
      </c>
      <c r="F34" s="55" t="s">
        <v>108</v>
      </c>
      <c r="G34" s="55" t="s">
        <v>108</v>
      </c>
      <c r="H34" s="62"/>
    </row>
    <row r="35" spans="1:8" x14ac:dyDescent="0.3">
      <c r="A35" s="135"/>
      <c r="B35" s="19" t="s">
        <v>45</v>
      </c>
      <c r="C35" s="55" t="s">
        <v>108</v>
      </c>
      <c r="D35" s="55" t="s">
        <v>108</v>
      </c>
      <c r="E35" s="55" t="s">
        <v>468</v>
      </c>
      <c r="F35" s="55" t="s">
        <v>108</v>
      </c>
      <c r="G35" s="55" t="s">
        <v>108</v>
      </c>
      <c r="H35" s="62"/>
    </row>
    <row r="36" spans="1:8" x14ac:dyDescent="0.3">
      <c r="C36" s="38"/>
      <c r="D36" s="38"/>
      <c r="E36" s="38"/>
      <c r="F36" s="38"/>
      <c r="G36" s="38"/>
      <c r="H36" s="62"/>
    </row>
    <row r="37" spans="1:8" ht="57.6" x14ac:dyDescent="0.3">
      <c r="A37" s="122" t="s">
        <v>68</v>
      </c>
      <c r="B37" s="122"/>
      <c r="C37" s="55" t="s">
        <v>108</v>
      </c>
      <c r="D37" s="40" t="s">
        <v>460</v>
      </c>
      <c r="E37" s="55" t="s">
        <v>108</v>
      </c>
      <c r="F37" s="55" t="s">
        <v>108</v>
      </c>
      <c r="G37" s="55" t="s">
        <v>108</v>
      </c>
      <c r="H37" s="62"/>
    </row>
    <row r="38" spans="1:8" x14ac:dyDescent="0.3">
      <c r="A38" s="122" t="s">
        <v>69</v>
      </c>
      <c r="B38" s="122"/>
      <c r="C38" s="55" t="s">
        <v>108</v>
      </c>
      <c r="D38" s="40" t="s">
        <v>465</v>
      </c>
      <c r="E38" s="40" t="s">
        <v>465</v>
      </c>
      <c r="F38" s="40" t="s">
        <v>108</v>
      </c>
      <c r="G38" s="40" t="s">
        <v>465</v>
      </c>
      <c r="H38" s="62"/>
    </row>
    <row r="39" spans="1:8" ht="409.6" x14ac:dyDescent="0.3">
      <c r="A39" s="122" t="s">
        <v>70</v>
      </c>
      <c r="B39" s="122"/>
      <c r="C39" s="40" t="s">
        <v>471</v>
      </c>
      <c r="D39" s="40" t="s">
        <v>467</v>
      </c>
      <c r="E39" s="40" t="s">
        <v>469</v>
      </c>
      <c r="F39" s="40" t="s">
        <v>472</v>
      </c>
      <c r="G39" s="40" t="s">
        <v>470</v>
      </c>
      <c r="H39" s="62"/>
    </row>
    <row r="40" spans="1:8" ht="28.8" x14ac:dyDescent="0.3">
      <c r="A40" s="122" t="s">
        <v>71</v>
      </c>
      <c r="B40" s="122"/>
      <c r="C40" s="55" t="s">
        <v>108</v>
      </c>
      <c r="D40" s="40" t="s">
        <v>462</v>
      </c>
      <c r="E40" s="40" t="s">
        <v>463</v>
      </c>
      <c r="F40" s="55" t="s">
        <v>108</v>
      </c>
      <c r="G40" s="55" t="s">
        <v>108</v>
      </c>
      <c r="H40" s="62"/>
    </row>
    <row r="41" spans="1:8" ht="15" customHeight="1" x14ac:dyDescent="0.3">
      <c r="A41" s="132" t="s">
        <v>803</v>
      </c>
      <c r="B41" s="122"/>
      <c r="C41" s="55" t="s">
        <v>108</v>
      </c>
      <c r="D41" s="55" t="s">
        <v>108</v>
      </c>
      <c r="E41" s="55" t="s">
        <v>108</v>
      </c>
      <c r="F41" s="55" t="s">
        <v>108</v>
      </c>
      <c r="G41" s="55" t="s">
        <v>108</v>
      </c>
      <c r="H41" s="62"/>
    </row>
    <row r="42" spans="1:8" x14ac:dyDescent="0.3">
      <c r="A42" s="122" t="s">
        <v>73</v>
      </c>
      <c r="B42" s="122"/>
      <c r="C42" s="55" t="s">
        <v>108</v>
      </c>
      <c r="D42" s="55" t="s">
        <v>108</v>
      </c>
      <c r="E42" s="55" t="s">
        <v>108</v>
      </c>
      <c r="F42" s="55" t="s">
        <v>108</v>
      </c>
      <c r="G42" s="55" t="s">
        <v>108</v>
      </c>
      <c r="H42" s="62"/>
    </row>
    <row r="43" spans="1:8" ht="72" x14ac:dyDescent="0.3">
      <c r="A43" s="122" t="s">
        <v>74</v>
      </c>
      <c r="B43" s="122"/>
      <c r="C43" s="41" t="s">
        <v>466</v>
      </c>
      <c r="D43" s="40" t="s">
        <v>461</v>
      </c>
      <c r="E43" s="40" t="s">
        <v>108</v>
      </c>
      <c r="F43" s="40" t="s">
        <v>441</v>
      </c>
      <c r="G43" s="40" t="s">
        <v>108</v>
      </c>
      <c r="H43" s="62"/>
    </row>
    <row r="44" spans="1:8" x14ac:dyDescent="0.3">
      <c r="H44" s="62"/>
    </row>
    <row r="46" spans="1:8" x14ac:dyDescent="0.3">
      <c r="B46" s="5"/>
      <c r="C46" s="5"/>
    </row>
    <row r="47" spans="1:8" x14ac:dyDescent="0.3">
      <c r="B47" s="5"/>
      <c r="C47" s="5"/>
    </row>
    <row r="48" spans="1:8" x14ac:dyDescent="0.3">
      <c r="B48" s="5"/>
      <c r="C48" s="5"/>
    </row>
    <row r="49" spans="2:3" x14ac:dyDescent="0.3">
      <c r="B49" s="5"/>
      <c r="C49" s="5"/>
    </row>
    <row r="50" spans="2:3" x14ac:dyDescent="0.3">
      <c r="B50" s="5"/>
      <c r="C50" s="5"/>
    </row>
    <row r="51" spans="2:3" x14ac:dyDescent="0.3">
      <c r="B51" s="5"/>
      <c r="C51" s="5"/>
    </row>
    <row r="52" spans="2:3" x14ac:dyDescent="0.3">
      <c r="B52" s="5"/>
      <c r="C52" s="5"/>
    </row>
    <row r="53" spans="2:3" x14ac:dyDescent="0.3">
      <c r="B53" s="5"/>
      <c r="C53" s="5"/>
    </row>
    <row r="54" spans="2:3" x14ac:dyDescent="0.3">
      <c r="B54" s="5"/>
      <c r="C54" s="5"/>
    </row>
    <row r="55" spans="2:3" x14ac:dyDescent="0.3">
      <c r="B55" s="5"/>
      <c r="C55" s="5"/>
    </row>
    <row r="56" spans="2:3" x14ac:dyDescent="0.3">
      <c r="B56" s="5"/>
      <c r="C56" s="5"/>
    </row>
    <row r="57" spans="2:3" x14ac:dyDescent="0.3">
      <c r="B57" s="5"/>
      <c r="C57" s="5"/>
    </row>
    <row r="58" spans="2:3" x14ac:dyDescent="0.3">
      <c r="B58" s="5"/>
      <c r="C58" s="5"/>
    </row>
    <row r="59" spans="2:3" x14ac:dyDescent="0.3">
      <c r="B59" s="5"/>
      <c r="C59" s="5"/>
    </row>
    <row r="60" spans="2:3" x14ac:dyDescent="0.3">
      <c r="B60" s="5"/>
      <c r="C60" s="5"/>
    </row>
    <row r="61" spans="2:3" x14ac:dyDescent="0.3">
      <c r="B61" s="5"/>
      <c r="C61" s="5"/>
    </row>
    <row r="62" spans="2:3" x14ac:dyDescent="0.3">
      <c r="B62" s="5"/>
      <c r="C62" s="5"/>
    </row>
    <row r="63" spans="2:3" x14ac:dyDescent="0.3">
      <c r="B63" s="5"/>
      <c r="C63" s="5"/>
    </row>
    <row r="64" spans="2:3" x14ac:dyDescent="0.3">
      <c r="B64" s="5"/>
      <c r="C64" s="5"/>
    </row>
    <row r="65" spans="2:3" x14ac:dyDescent="0.3">
      <c r="B65" s="5"/>
      <c r="C65" s="5"/>
    </row>
    <row r="66" spans="2:3" x14ac:dyDescent="0.3">
      <c r="B66" s="5"/>
      <c r="C66" s="5"/>
    </row>
    <row r="67" spans="2:3" x14ac:dyDescent="0.3">
      <c r="B67" s="5"/>
      <c r="C67" s="5"/>
    </row>
    <row r="68" spans="2:3" x14ac:dyDescent="0.3">
      <c r="B68" s="5"/>
      <c r="C68" s="5"/>
    </row>
    <row r="69" spans="2:3" x14ac:dyDescent="0.3">
      <c r="B69" s="5"/>
      <c r="C69" s="5"/>
    </row>
    <row r="70" spans="2:3" x14ac:dyDescent="0.3">
      <c r="B70" s="5"/>
      <c r="C70" s="5"/>
    </row>
    <row r="71" spans="2:3" x14ac:dyDescent="0.3">
      <c r="B71" s="5"/>
      <c r="C71" s="5"/>
    </row>
    <row r="72" spans="2:3" x14ac:dyDescent="0.3">
      <c r="B72" s="5"/>
      <c r="C72" s="5"/>
    </row>
    <row r="73" spans="2:3" ht="54.75" customHeight="1" x14ac:dyDescent="0.3">
      <c r="B73" s="5"/>
      <c r="C73" s="5"/>
    </row>
    <row r="74" spans="2:3" x14ac:dyDescent="0.3">
      <c r="B74" s="5"/>
      <c r="C74" s="5"/>
    </row>
    <row r="75" spans="2:3" x14ac:dyDescent="0.3">
      <c r="B75" s="5"/>
      <c r="C75" s="5"/>
    </row>
    <row r="76" spans="2:3" x14ac:dyDescent="0.3">
      <c r="B76" s="5"/>
      <c r="C76" s="5"/>
    </row>
  </sheetData>
  <mergeCells count="23">
    <mergeCell ref="A42:B42"/>
    <mergeCell ref="A43:B43"/>
    <mergeCell ref="A38:B38"/>
    <mergeCell ref="A17:B17"/>
    <mergeCell ref="A18:B18"/>
    <mergeCell ref="A19:B19"/>
    <mergeCell ref="A20:B20"/>
    <mergeCell ref="A23:B23"/>
    <mergeCell ref="A24:B24"/>
    <mergeCell ref="A25:B25"/>
    <mergeCell ref="A26:B26"/>
    <mergeCell ref="A27:A35"/>
    <mergeCell ref="A37:B37"/>
    <mergeCell ref="A39:B39"/>
    <mergeCell ref="A40:B40"/>
    <mergeCell ref="A41:B41"/>
    <mergeCell ref="A21:B21"/>
    <mergeCell ref="A4:B4"/>
    <mergeCell ref="C4:E4"/>
    <mergeCell ref="G4:G14"/>
    <mergeCell ref="H4:H14"/>
    <mergeCell ref="A5:B5"/>
    <mergeCell ref="A6:A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L94"/>
  <sheetViews>
    <sheetView zoomScale="70" zoomScaleNormal="70" workbookViewId="0"/>
  </sheetViews>
  <sheetFormatPr defaultColWidth="9.109375" defaultRowHeight="14.4" x14ac:dyDescent="0.3"/>
  <cols>
    <col min="1" max="1" width="11.109375" style="1" customWidth="1"/>
    <col min="2" max="2" width="45.33203125" style="1" customWidth="1"/>
    <col min="3" max="10" width="16.6640625" style="1" customWidth="1"/>
    <col min="11" max="11" width="10.44140625" style="1" customWidth="1"/>
    <col min="12" max="12" width="8.88671875" style="1" customWidth="1"/>
    <col min="13" max="16384" width="9.109375" style="1"/>
  </cols>
  <sheetData>
    <row r="1" spans="1:9" x14ac:dyDescent="0.3">
      <c r="A1" s="24" t="s">
        <v>87</v>
      </c>
      <c r="B1" s="25"/>
    </row>
    <row r="2" spans="1:9" ht="48" customHeight="1" x14ac:dyDescent="0.3">
      <c r="A2" s="21" t="s">
        <v>33</v>
      </c>
    </row>
    <row r="3" spans="1:9" ht="43.2" x14ac:dyDescent="0.3">
      <c r="C3" s="15" t="s">
        <v>28</v>
      </c>
      <c r="D3" s="15" t="s">
        <v>30</v>
      </c>
      <c r="E3" s="15" t="s">
        <v>29</v>
      </c>
      <c r="F3" s="14" t="s">
        <v>124</v>
      </c>
      <c r="G3" s="14" t="s">
        <v>31</v>
      </c>
      <c r="H3" s="14" t="s">
        <v>32</v>
      </c>
    </row>
    <row r="4" spans="1:9" x14ac:dyDescent="0.3">
      <c r="A4" s="139" t="s">
        <v>34</v>
      </c>
      <c r="B4" s="139"/>
      <c r="C4" s="136" t="s">
        <v>494</v>
      </c>
      <c r="D4" s="137"/>
      <c r="E4" s="138"/>
      <c r="F4" s="37">
        <v>7</v>
      </c>
      <c r="G4" s="123" t="s">
        <v>729</v>
      </c>
      <c r="H4" s="123" t="s">
        <v>799</v>
      </c>
    </row>
    <row r="5" spans="1:9" x14ac:dyDescent="0.3">
      <c r="A5" s="139" t="s">
        <v>730</v>
      </c>
      <c r="B5" s="139"/>
      <c r="C5" s="70">
        <v>300</v>
      </c>
      <c r="D5" s="70">
        <f>ROUND(AVERAGE(400,650),-1)</f>
        <v>530</v>
      </c>
      <c r="E5" s="69">
        <v>1000</v>
      </c>
      <c r="F5" s="37">
        <v>2</v>
      </c>
      <c r="G5" s="124"/>
      <c r="H5" s="124"/>
    </row>
    <row r="6" spans="1:9" x14ac:dyDescent="0.3">
      <c r="A6" s="141" t="s">
        <v>3</v>
      </c>
      <c r="B6" s="20" t="s">
        <v>39</v>
      </c>
      <c r="C6" s="70">
        <v>1200</v>
      </c>
      <c r="D6" s="70">
        <f>AVERAGE(C27,D27,E27,H27,1700)</f>
        <v>2400</v>
      </c>
      <c r="E6" s="69">
        <f>H27</f>
        <v>3000</v>
      </c>
      <c r="F6" s="37">
        <v>5</v>
      </c>
      <c r="G6" s="124"/>
      <c r="H6" s="124"/>
    </row>
    <row r="7" spans="1:9" x14ac:dyDescent="0.3">
      <c r="A7" s="141"/>
      <c r="B7" s="20" t="s">
        <v>40</v>
      </c>
      <c r="C7" s="70">
        <f>C28</f>
        <v>3000</v>
      </c>
      <c r="D7" s="70">
        <f>ROUND(AVERAGE(C28,E28,4100,2700),-2)</f>
        <v>3600</v>
      </c>
      <c r="E7" s="69">
        <v>4200</v>
      </c>
      <c r="F7" s="37">
        <v>4</v>
      </c>
      <c r="G7" s="124"/>
      <c r="H7" s="124"/>
    </row>
    <row r="8" spans="1:9" x14ac:dyDescent="0.3">
      <c r="A8" s="141"/>
      <c r="B8" s="20" t="s">
        <v>41</v>
      </c>
      <c r="C8" s="70">
        <f>E29</f>
        <v>3200</v>
      </c>
      <c r="D8" s="70">
        <f>ROUND(AVERAGE(C29,D29,E29,4500),-2)</f>
        <v>3900</v>
      </c>
      <c r="E8" s="69">
        <v>5000</v>
      </c>
      <c r="F8" s="37">
        <v>4</v>
      </c>
      <c r="G8" s="124"/>
      <c r="H8" s="124"/>
    </row>
    <row r="9" spans="1:9" x14ac:dyDescent="0.3">
      <c r="A9" s="141"/>
      <c r="B9" s="20" t="s">
        <v>42</v>
      </c>
      <c r="C9" s="70">
        <f>E30</f>
        <v>4800</v>
      </c>
      <c r="D9" s="70">
        <f>ROUND(AVERAGE(C30,E30,5250,5000),-2)</f>
        <v>5000</v>
      </c>
      <c r="E9" s="69">
        <v>5500</v>
      </c>
      <c r="F9" s="37">
        <v>4</v>
      </c>
      <c r="G9" s="124"/>
      <c r="H9" s="124"/>
    </row>
    <row r="10" spans="1:9" x14ac:dyDescent="0.3">
      <c r="A10" s="141"/>
      <c r="B10" s="20" t="s">
        <v>97</v>
      </c>
      <c r="C10" s="70">
        <f>E31</f>
        <v>4800</v>
      </c>
      <c r="D10" s="70">
        <f>ROUND(AVERAGE(C31,E31,F31,6000),-2)</f>
        <v>5500</v>
      </c>
      <c r="E10" s="69">
        <v>7000</v>
      </c>
      <c r="F10" s="37">
        <v>4</v>
      </c>
      <c r="G10" s="124"/>
      <c r="H10" s="124"/>
    </row>
    <row r="11" spans="1:9" x14ac:dyDescent="0.3">
      <c r="A11" s="141"/>
      <c r="B11" s="20" t="s">
        <v>98</v>
      </c>
      <c r="C11" s="70">
        <f>C32</f>
        <v>6000</v>
      </c>
      <c r="D11" s="70">
        <f>ROUND(AVERAGE(C32,E32,7000,6000),-2)</f>
        <v>6400</v>
      </c>
      <c r="E11" s="69">
        <v>8000</v>
      </c>
      <c r="F11" s="37">
        <v>5</v>
      </c>
      <c r="G11" s="124"/>
      <c r="H11" s="124"/>
    </row>
    <row r="12" spans="1:9" x14ac:dyDescent="0.3">
      <c r="A12" s="141"/>
      <c r="B12" s="20" t="s">
        <v>43</v>
      </c>
      <c r="C12" s="70">
        <v>5000</v>
      </c>
      <c r="D12" s="70">
        <f>ROUND(AVERAGE(6250,E33,6000),-2)</f>
        <v>5900</v>
      </c>
      <c r="E12" s="69">
        <v>7000</v>
      </c>
      <c r="F12" s="37">
        <v>3</v>
      </c>
      <c r="G12" s="124"/>
      <c r="H12" s="124"/>
    </row>
    <row r="13" spans="1:9" x14ac:dyDescent="0.3">
      <c r="A13" s="141"/>
      <c r="B13" s="20" t="s">
        <v>44</v>
      </c>
      <c r="C13" s="70">
        <v>7000</v>
      </c>
      <c r="D13" s="70">
        <f>ROUND(AVERAGE(8500,7500,9000),-2)</f>
        <v>8300</v>
      </c>
      <c r="E13" s="69">
        <v>10000</v>
      </c>
      <c r="F13" s="37" t="s">
        <v>728</v>
      </c>
      <c r="G13" s="124"/>
      <c r="H13" s="124"/>
    </row>
    <row r="14" spans="1:9" x14ac:dyDescent="0.3">
      <c r="A14" s="141"/>
      <c r="B14" s="20" t="s">
        <v>45</v>
      </c>
      <c r="C14" s="70">
        <f>E35</f>
        <v>5800</v>
      </c>
      <c r="D14" s="70">
        <f>ROUND(AVERAGE(6500,E35,H35,I35),-2)</f>
        <v>6600</v>
      </c>
      <c r="E14" s="69">
        <f>H35</f>
        <v>8000</v>
      </c>
      <c r="F14" s="37">
        <v>4</v>
      </c>
      <c r="G14" s="125"/>
      <c r="H14" s="125"/>
    </row>
    <row r="15" spans="1:9" ht="44.25" customHeight="1" x14ac:dyDescent="0.3">
      <c r="A15" s="21" t="s">
        <v>49</v>
      </c>
      <c r="C15" s="58">
        <v>43</v>
      </c>
      <c r="D15" s="58">
        <v>10</v>
      </c>
      <c r="E15" s="58">
        <v>44</v>
      </c>
      <c r="F15" s="58">
        <v>45</v>
      </c>
      <c r="G15" s="58">
        <v>46</v>
      </c>
      <c r="H15" s="58">
        <v>47</v>
      </c>
      <c r="I15" s="58">
        <v>49</v>
      </c>
    </row>
    <row r="16" spans="1:9" x14ac:dyDescent="0.3">
      <c r="B16" s="13" t="s">
        <v>26</v>
      </c>
      <c r="C16" s="18">
        <v>1</v>
      </c>
      <c r="D16" s="18">
        <v>2</v>
      </c>
      <c r="E16" s="18">
        <v>3</v>
      </c>
      <c r="F16" s="18">
        <v>4</v>
      </c>
      <c r="G16" s="18">
        <v>5</v>
      </c>
      <c r="H16" s="18">
        <v>6</v>
      </c>
      <c r="I16" s="18">
        <v>7</v>
      </c>
    </row>
    <row r="17" spans="1:12" x14ac:dyDescent="0.3">
      <c r="A17" s="139" t="s">
        <v>35</v>
      </c>
      <c r="B17" s="139"/>
      <c r="C17" s="37" t="s">
        <v>142</v>
      </c>
      <c r="D17" s="37" t="s">
        <v>142</v>
      </c>
      <c r="E17" s="37" t="s">
        <v>142</v>
      </c>
      <c r="F17" s="37" t="s">
        <v>142</v>
      </c>
      <c r="G17" s="37" t="s">
        <v>680</v>
      </c>
      <c r="H17" s="37" t="s">
        <v>142</v>
      </c>
      <c r="I17" s="37" t="s">
        <v>142</v>
      </c>
    </row>
    <row r="18" spans="1:12" ht="86.4" x14ac:dyDescent="0.3">
      <c r="A18" s="139" t="s">
        <v>36</v>
      </c>
      <c r="B18" s="139"/>
      <c r="C18" s="37" t="s">
        <v>676</v>
      </c>
      <c r="D18" s="43" t="s">
        <v>158</v>
      </c>
      <c r="E18" s="43" t="s">
        <v>678</v>
      </c>
      <c r="F18" s="43" t="s">
        <v>677</v>
      </c>
      <c r="G18" s="37" t="s">
        <v>676</v>
      </c>
      <c r="H18" s="43" t="s">
        <v>677</v>
      </c>
      <c r="I18" s="43" t="s">
        <v>679</v>
      </c>
    </row>
    <row r="19" spans="1:12" x14ac:dyDescent="0.3">
      <c r="A19" s="139" t="s">
        <v>37</v>
      </c>
      <c r="B19" s="139"/>
      <c r="C19" s="37" t="s">
        <v>143</v>
      </c>
      <c r="D19" s="37" t="s">
        <v>143</v>
      </c>
      <c r="E19" s="37" t="s">
        <v>108</v>
      </c>
      <c r="F19" s="37" t="s">
        <v>108</v>
      </c>
      <c r="G19" s="37" t="s">
        <v>108</v>
      </c>
      <c r="H19" s="37" t="s">
        <v>108</v>
      </c>
      <c r="I19" s="37" t="s">
        <v>108</v>
      </c>
    </row>
    <row r="20" spans="1:12" x14ac:dyDescent="0.3">
      <c r="A20" s="140" t="s">
        <v>38</v>
      </c>
      <c r="B20" s="140"/>
      <c r="C20" s="37" t="s">
        <v>115</v>
      </c>
      <c r="D20" s="37" t="s">
        <v>115</v>
      </c>
      <c r="E20" s="37" t="s">
        <v>108</v>
      </c>
      <c r="F20" s="37" t="s">
        <v>108</v>
      </c>
      <c r="G20" s="37" t="s">
        <v>108</v>
      </c>
      <c r="H20" s="37" t="s">
        <v>115</v>
      </c>
      <c r="I20" s="37" t="s">
        <v>115</v>
      </c>
    </row>
    <row r="21" spans="1:12" x14ac:dyDescent="0.3">
      <c r="A21" s="122" t="s">
        <v>27</v>
      </c>
      <c r="B21" s="122"/>
      <c r="C21" s="37">
        <v>4</v>
      </c>
      <c r="D21" s="37">
        <v>3</v>
      </c>
      <c r="E21" s="37">
        <v>4</v>
      </c>
      <c r="F21" s="37">
        <v>2</v>
      </c>
      <c r="G21" s="37">
        <v>3</v>
      </c>
      <c r="H21" s="37">
        <v>4</v>
      </c>
      <c r="I21" s="37">
        <v>4</v>
      </c>
      <c r="J21" s="58"/>
      <c r="K21" s="58"/>
      <c r="L21" s="36"/>
    </row>
    <row r="22" spans="1:12" x14ac:dyDescent="0.3">
      <c r="C22" s="16"/>
      <c r="D22" s="16"/>
      <c r="E22" s="16"/>
      <c r="F22" s="16"/>
      <c r="G22" s="16"/>
      <c r="H22" s="16"/>
      <c r="I22" s="16"/>
    </row>
    <row r="23" spans="1:12" x14ac:dyDescent="0.3">
      <c r="A23" s="122" t="s">
        <v>2</v>
      </c>
      <c r="B23" s="122"/>
      <c r="C23" s="70">
        <v>120000</v>
      </c>
      <c r="D23" s="70" t="s">
        <v>108</v>
      </c>
      <c r="E23" s="70">
        <v>3100</v>
      </c>
      <c r="F23" s="70" t="s">
        <v>108</v>
      </c>
      <c r="G23" s="61">
        <v>3300</v>
      </c>
      <c r="H23" s="44" t="s">
        <v>108</v>
      </c>
      <c r="I23" s="70">
        <v>3800</v>
      </c>
    </row>
    <row r="24" spans="1:12" ht="100.8" x14ac:dyDescent="0.3">
      <c r="A24" s="122" t="s">
        <v>13</v>
      </c>
      <c r="B24" s="122"/>
      <c r="C24" s="57" t="s">
        <v>722</v>
      </c>
      <c r="D24" s="70" t="s">
        <v>105</v>
      </c>
      <c r="E24" s="44" t="s">
        <v>721</v>
      </c>
      <c r="F24" s="57" t="s">
        <v>692</v>
      </c>
      <c r="G24" s="57" t="s">
        <v>709</v>
      </c>
      <c r="H24" s="57" t="s">
        <v>715</v>
      </c>
      <c r="I24" s="57" t="s">
        <v>723</v>
      </c>
    </row>
    <row r="25" spans="1:12" ht="28.8" x14ac:dyDescent="0.3">
      <c r="A25" s="122" t="s">
        <v>1</v>
      </c>
      <c r="B25" s="122"/>
      <c r="C25" s="41" t="s">
        <v>690</v>
      </c>
      <c r="D25" s="70" t="s">
        <v>101</v>
      </c>
      <c r="E25" s="70" t="s">
        <v>691</v>
      </c>
      <c r="F25" s="70" t="s">
        <v>456</v>
      </c>
      <c r="G25" s="70" t="s">
        <v>689</v>
      </c>
      <c r="H25" s="70" t="s">
        <v>682</v>
      </c>
      <c r="I25" s="70" t="s">
        <v>681</v>
      </c>
    </row>
    <row r="26" spans="1:12" ht="28.8" x14ac:dyDescent="0.3">
      <c r="A26" s="122" t="s">
        <v>731</v>
      </c>
      <c r="B26" s="122"/>
      <c r="C26" s="37" t="s">
        <v>108</v>
      </c>
      <c r="D26" s="41" t="s">
        <v>698</v>
      </c>
      <c r="E26" s="37" t="s">
        <v>108</v>
      </c>
      <c r="F26" s="37" t="s">
        <v>108</v>
      </c>
      <c r="G26" s="41" t="s">
        <v>699</v>
      </c>
      <c r="H26" s="37" t="s">
        <v>108</v>
      </c>
      <c r="I26" s="37" t="s">
        <v>108</v>
      </c>
    </row>
    <row r="27" spans="1:12" ht="28.8" x14ac:dyDescent="0.3">
      <c r="A27" s="133" t="s">
        <v>3</v>
      </c>
      <c r="B27" s="19" t="s">
        <v>39</v>
      </c>
      <c r="C27" s="70">
        <v>2000</v>
      </c>
      <c r="D27" s="70">
        <v>2500</v>
      </c>
      <c r="E27" s="70">
        <f>1400*2</f>
        <v>2800</v>
      </c>
      <c r="F27" s="41" t="s">
        <v>713</v>
      </c>
      <c r="G27" s="41" t="s">
        <v>713</v>
      </c>
      <c r="H27" s="70">
        <v>3000</v>
      </c>
      <c r="I27" s="70" t="s">
        <v>724</v>
      </c>
    </row>
    <row r="28" spans="1:12" x14ac:dyDescent="0.3">
      <c r="A28" s="134"/>
      <c r="B28" s="19" t="s">
        <v>40</v>
      </c>
      <c r="C28" s="70">
        <v>3000</v>
      </c>
      <c r="D28" s="70" t="s">
        <v>108</v>
      </c>
      <c r="E28" s="70">
        <f>2200*2</f>
        <v>4400</v>
      </c>
      <c r="F28" s="70" t="s">
        <v>108</v>
      </c>
      <c r="G28" s="70" t="s">
        <v>108</v>
      </c>
      <c r="H28" s="70" t="s">
        <v>716</v>
      </c>
      <c r="I28" s="70" t="s">
        <v>725</v>
      </c>
    </row>
    <row r="29" spans="1:12" x14ac:dyDescent="0.3">
      <c r="A29" s="134"/>
      <c r="B29" s="19" t="s">
        <v>41</v>
      </c>
      <c r="C29" s="70">
        <v>3500</v>
      </c>
      <c r="D29" s="70">
        <v>4500</v>
      </c>
      <c r="E29" s="70">
        <f>1600*2</f>
        <v>3200</v>
      </c>
      <c r="F29" s="70" t="s">
        <v>108</v>
      </c>
      <c r="G29" s="70" t="s">
        <v>108</v>
      </c>
      <c r="H29" s="70" t="s">
        <v>717</v>
      </c>
      <c r="I29" s="70" t="s">
        <v>108</v>
      </c>
    </row>
    <row r="30" spans="1:12" x14ac:dyDescent="0.3">
      <c r="A30" s="134"/>
      <c r="B30" s="19" t="s">
        <v>42</v>
      </c>
      <c r="C30" s="70">
        <v>5000</v>
      </c>
      <c r="D30" s="70" t="s">
        <v>108</v>
      </c>
      <c r="E30" s="70">
        <f>2400*2</f>
        <v>4800</v>
      </c>
      <c r="F30" s="70" t="s">
        <v>108</v>
      </c>
      <c r="G30" s="70" t="s">
        <v>108</v>
      </c>
      <c r="H30" s="70" t="s">
        <v>718</v>
      </c>
      <c r="I30" s="70" t="s">
        <v>726</v>
      </c>
    </row>
    <row r="31" spans="1:12" x14ac:dyDescent="0.3">
      <c r="A31" s="134"/>
      <c r="B31" s="19" t="s">
        <v>97</v>
      </c>
      <c r="C31" s="70">
        <v>5000</v>
      </c>
      <c r="D31" s="70" t="s">
        <v>108</v>
      </c>
      <c r="E31" s="70">
        <f>2400*2</f>
        <v>4800</v>
      </c>
      <c r="F31" s="70">
        <v>6000</v>
      </c>
      <c r="G31" s="70" t="s">
        <v>108</v>
      </c>
      <c r="H31" s="70" t="s">
        <v>719</v>
      </c>
      <c r="I31" s="70" t="s">
        <v>108</v>
      </c>
    </row>
    <row r="32" spans="1:12" x14ac:dyDescent="0.3">
      <c r="A32" s="134"/>
      <c r="B32" s="19" t="s">
        <v>98</v>
      </c>
      <c r="C32" s="70">
        <v>6000</v>
      </c>
      <c r="D32" s="74" t="s">
        <v>712</v>
      </c>
      <c r="E32" s="70">
        <f>3200*2</f>
        <v>6400</v>
      </c>
      <c r="F32" s="70" t="s">
        <v>108</v>
      </c>
      <c r="G32" s="70" t="s">
        <v>108</v>
      </c>
      <c r="H32" s="70" t="s">
        <v>720</v>
      </c>
      <c r="I32" s="70" t="s">
        <v>727</v>
      </c>
    </row>
    <row r="33" spans="1:9" x14ac:dyDescent="0.3">
      <c r="A33" s="134"/>
      <c r="B33" s="19" t="s">
        <v>43</v>
      </c>
      <c r="C33" s="70" t="s">
        <v>694</v>
      </c>
      <c r="D33" s="70" t="s">
        <v>108</v>
      </c>
      <c r="E33" s="70">
        <f>2700*2</f>
        <v>5400</v>
      </c>
      <c r="F33" s="70" t="s">
        <v>108</v>
      </c>
      <c r="G33" s="70" t="s">
        <v>108</v>
      </c>
      <c r="H33" s="70" t="s">
        <v>719</v>
      </c>
      <c r="I33" s="70" t="s">
        <v>108</v>
      </c>
    </row>
    <row r="34" spans="1:9" x14ac:dyDescent="0.3">
      <c r="A34" s="134"/>
      <c r="B34" s="19" t="s">
        <v>44</v>
      </c>
      <c r="C34" s="70" t="s">
        <v>221</v>
      </c>
      <c r="D34" s="70" t="s">
        <v>108</v>
      </c>
      <c r="E34" s="70" t="s">
        <v>220</v>
      </c>
      <c r="F34" s="70" t="s">
        <v>108</v>
      </c>
      <c r="G34" s="70" t="s">
        <v>108</v>
      </c>
      <c r="H34" s="70" t="s">
        <v>234</v>
      </c>
      <c r="I34" s="74" t="s">
        <v>712</v>
      </c>
    </row>
    <row r="35" spans="1:9" x14ac:dyDescent="0.3">
      <c r="A35" s="135"/>
      <c r="B35" s="19" t="s">
        <v>45</v>
      </c>
      <c r="C35" s="70" t="s">
        <v>695</v>
      </c>
      <c r="D35" s="70" t="s">
        <v>108</v>
      </c>
      <c r="E35" s="70">
        <f>2900*2</f>
        <v>5800</v>
      </c>
      <c r="F35" s="70" t="s">
        <v>108</v>
      </c>
      <c r="G35" s="70" t="s">
        <v>108</v>
      </c>
      <c r="H35" s="70">
        <v>8000</v>
      </c>
      <c r="I35" s="70">
        <v>6000</v>
      </c>
    </row>
    <row r="36" spans="1:9" x14ac:dyDescent="0.3">
      <c r="C36" s="38"/>
      <c r="D36" s="38"/>
      <c r="E36" s="38"/>
      <c r="F36" s="38"/>
      <c r="G36" s="38"/>
      <c r="H36" s="38"/>
      <c r="I36" s="38"/>
    </row>
    <row r="37" spans="1:9" ht="27.9" customHeight="1" x14ac:dyDescent="0.3">
      <c r="A37" s="122" t="s">
        <v>68</v>
      </c>
      <c r="B37" s="122"/>
      <c r="C37" s="40" t="s">
        <v>659</v>
      </c>
      <c r="D37" s="40" t="s">
        <v>659</v>
      </c>
      <c r="E37" s="40" t="s">
        <v>693</v>
      </c>
      <c r="F37" s="40" t="s">
        <v>701</v>
      </c>
      <c r="G37" s="40" t="s">
        <v>693</v>
      </c>
      <c r="H37" s="40" t="s">
        <v>702</v>
      </c>
      <c r="I37" s="40" t="s">
        <v>703</v>
      </c>
    </row>
    <row r="38" spans="1:9" ht="172.8" x14ac:dyDescent="0.3">
      <c r="A38" s="122" t="s">
        <v>69</v>
      </c>
      <c r="B38" s="122"/>
      <c r="C38" s="40" t="s">
        <v>697</v>
      </c>
      <c r="D38" s="40" t="s">
        <v>468</v>
      </c>
      <c r="E38" s="40" t="s">
        <v>468</v>
      </c>
      <c r="F38" s="40" t="s">
        <v>108</v>
      </c>
      <c r="G38" s="40" t="s">
        <v>704</v>
      </c>
      <c r="H38" s="40" t="s">
        <v>705</v>
      </c>
      <c r="I38" s="40" t="s">
        <v>706</v>
      </c>
    </row>
    <row r="39" spans="1:9" ht="248.7" customHeight="1" x14ac:dyDescent="0.3">
      <c r="A39" s="122" t="s">
        <v>70</v>
      </c>
      <c r="B39" s="122"/>
      <c r="C39" s="40" t="s">
        <v>696</v>
      </c>
      <c r="D39" s="40" t="s">
        <v>700</v>
      </c>
      <c r="E39" s="40" t="s">
        <v>711</v>
      </c>
      <c r="F39" s="40" t="s">
        <v>710</v>
      </c>
      <c r="G39" s="40" t="s">
        <v>798</v>
      </c>
      <c r="H39" s="40" t="s">
        <v>708</v>
      </c>
      <c r="I39" s="40" t="s">
        <v>707</v>
      </c>
    </row>
    <row r="40" spans="1:9" ht="115.2" x14ac:dyDescent="0.3">
      <c r="A40" s="122" t="s">
        <v>71</v>
      </c>
      <c r="B40" s="122"/>
      <c r="C40" s="40" t="s">
        <v>597</v>
      </c>
      <c r="D40" s="40" t="s">
        <v>108</v>
      </c>
      <c r="E40" s="40" t="s">
        <v>685</v>
      </c>
      <c r="F40" s="40" t="s">
        <v>108</v>
      </c>
      <c r="G40" s="40" t="s">
        <v>686</v>
      </c>
      <c r="H40" s="40" t="s">
        <v>687</v>
      </c>
      <c r="I40" s="40" t="s">
        <v>688</v>
      </c>
    </row>
    <row r="41" spans="1:9" ht="158.4" x14ac:dyDescent="0.3">
      <c r="A41" s="132" t="s">
        <v>803</v>
      </c>
      <c r="B41" s="122"/>
      <c r="C41" s="40" t="s">
        <v>108</v>
      </c>
      <c r="D41" s="40" t="s">
        <v>108</v>
      </c>
      <c r="E41" s="40" t="s">
        <v>714</v>
      </c>
      <c r="F41" s="40" t="s">
        <v>108</v>
      </c>
      <c r="G41" s="40" t="s">
        <v>108</v>
      </c>
      <c r="H41" s="40" t="s">
        <v>108</v>
      </c>
      <c r="I41" s="40" t="s">
        <v>108</v>
      </c>
    </row>
    <row r="42" spans="1:9" x14ac:dyDescent="0.3">
      <c r="A42" s="122" t="s">
        <v>73</v>
      </c>
      <c r="B42" s="122"/>
      <c r="C42" s="40" t="s">
        <v>108</v>
      </c>
      <c r="D42" s="40" t="s">
        <v>108</v>
      </c>
      <c r="E42" s="40" t="s">
        <v>108</v>
      </c>
      <c r="F42" s="40" t="s">
        <v>108</v>
      </c>
      <c r="G42" s="40" t="s">
        <v>108</v>
      </c>
      <c r="H42" s="40" t="s">
        <v>108</v>
      </c>
      <c r="I42" s="40" t="s">
        <v>108</v>
      </c>
    </row>
    <row r="43" spans="1:9" ht="86.4" x14ac:dyDescent="0.3">
      <c r="A43" s="122" t="s">
        <v>74</v>
      </c>
      <c r="B43" s="122"/>
      <c r="C43" s="40" t="s">
        <v>108</v>
      </c>
      <c r="D43" s="40" t="s">
        <v>108</v>
      </c>
      <c r="E43" s="40" t="s">
        <v>683</v>
      </c>
      <c r="F43" s="40" t="s">
        <v>108</v>
      </c>
      <c r="G43" s="40" t="s">
        <v>684</v>
      </c>
      <c r="H43" s="40" t="s">
        <v>108</v>
      </c>
      <c r="I43" s="40" t="s">
        <v>683</v>
      </c>
    </row>
    <row r="44" spans="1:9" x14ac:dyDescent="0.3">
      <c r="C44" s="4"/>
    </row>
    <row r="94" ht="54.75" customHeight="1" x14ac:dyDescent="0.3"/>
  </sheetData>
  <mergeCells count="23">
    <mergeCell ref="A21:B21"/>
    <mergeCell ref="A23:B23"/>
    <mergeCell ref="A24:B24"/>
    <mergeCell ref="A25:B25"/>
    <mergeCell ref="A26:B26"/>
    <mergeCell ref="A27:A35"/>
    <mergeCell ref="A43:B43"/>
    <mergeCell ref="A37:B37"/>
    <mergeCell ref="A38:B38"/>
    <mergeCell ref="A39:B39"/>
    <mergeCell ref="A40:B40"/>
    <mergeCell ref="A41:B41"/>
    <mergeCell ref="A42:B42"/>
    <mergeCell ref="A19:B19"/>
    <mergeCell ref="A20:B20"/>
    <mergeCell ref="H4:H14"/>
    <mergeCell ref="C4:E4"/>
    <mergeCell ref="G4:G14"/>
    <mergeCell ref="A6:A14"/>
    <mergeCell ref="A5:B5"/>
    <mergeCell ref="A4:B4"/>
    <mergeCell ref="A17:B17"/>
    <mergeCell ref="A18:B18"/>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L63"/>
  <sheetViews>
    <sheetView zoomScale="85" zoomScaleNormal="85" workbookViewId="0"/>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88</v>
      </c>
      <c r="B1" s="25"/>
    </row>
    <row r="2" spans="1:8" ht="48" customHeight="1" x14ac:dyDescent="0.3">
      <c r="A2" s="21" t="s">
        <v>33</v>
      </c>
    </row>
    <row r="3" spans="1:8" ht="43.2" x14ac:dyDescent="0.3">
      <c r="C3" s="15" t="s">
        <v>28</v>
      </c>
      <c r="D3" s="15" t="s">
        <v>30</v>
      </c>
      <c r="E3" s="15" t="s">
        <v>29</v>
      </c>
      <c r="F3" s="14" t="s">
        <v>124</v>
      </c>
      <c r="G3" s="14" t="s">
        <v>31</v>
      </c>
      <c r="H3" s="14" t="s">
        <v>32</v>
      </c>
    </row>
    <row r="4" spans="1:8" x14ac:dyDescent="0.3">
      <c r="A4" s="139" t="s">
        <v>34</v>
      </c>
      <c r="B4" s="139"/>
      <c r="C4" s="136" t="s">
        <v>494</v>
      </c>
      <c r="D4" s="137"/>
      <c r="E4" s="138"/>
      <c r="F4" s="37">
        <v>3</v>
      </c>
      <c r="G4" s="147" t="s">
        <v>666</v>
      </c>
      <c r="H4" s="123" t="s">
        <v>667</v>
      </c>
    </row>
    <row r="5" spans="1:8" x14ac:dyDescent="0.3">
      <c r="A5" s="139" t="s">
        <v>47</v>
      </c>
      <c r="B5" s="139"/>
      <c r="C5" s="70" t="s">
        <v>665</v>
      </c>
      <c r="D5" s="70" t="s">
        <v>665</v>
      </c>
      <c r="E5" s="70" t="s">
        <v>665</v>
      </c>
      <c r="F5" s="37">
        <v>1</v>
      </c>
      <c r="G5" s="142"/>
      <c r="H5" s="124"/>
    </row>
    <row r="6" spans="1:8" x14ac:dyDescent="0.3">
      <c r="A6" s="141" t="s">
        <v>3</v>
      </c>
      <c r="B6" s="20" t="s">
        <v>39</v>
      </c>
      <c r="C6" s="70">
        <v>1200</v>
      </c>
      <c r="D6" s="70">
        <f>ROUND(AVERAGE(2250,1180),-2)</f>
        <v>1700</v>
      </c>
      <c r="E6" s="70">
        <v>2500</v>
      </c>
      <c r="F6" s="37">
        <v>2</v>
      </c>
      <c r="G6" s="142"/>
      <c r="H6" s="124"/>
    </row>
    <row r="7" spans="1:8" x14ac:dyDescent="0.3">
      <c r="A7" s="141"/>
      <c r="B7" s="20" t="s">
        <v>40</v>
      </c>
      <c r="C7" s="70">
        <v>5300</v>
      </c>
      <c r="D7" s="70">
        <f>ROUND(AVERAGE(C7,E7),-2)</f>
        <v>5700</v>
      </c>
      <c r="E7" s="70">
        <v>6000</v>
      </c>
      <c r="F7" s="37">
        <v>1</v>
      </c>
      <c r="G7" s="142"/>
      <c r="H7" s="124"/>
    </row>
    <row r="8" spans="1:8" x14ac:dyDescent="0.3">
      <c r="A8" s="141"/>
      <c r="B8" s="20" t="s">
        <v>41</v>
      </c>
      <c r="C8" s="70">
        <v>3500</v>
      </c>
      <c r="D8" s="70">
        <f>ROUND(AVERAGE(C8,E8),-2)</f>
        <v>3800</v>
      </c>
      <c r="E8" s="69">
        <v>4000</v>
      </c>
      <c r="F8" s="37">
        <v>1</v>
      </c>
      <c r="G8" s="142"/>
      <c r="H8" s="124"/>
    </row>
    <row r="9" spans="1:8" x14ac:dyDescent="0.3">
      <c r="A9" s="141"/>
      <c r="B9" s="20" t="s">
        <v>42</v>
      </c>
      <c r="C9" s="70">
        <v>5300</v>
      </c>
      <c r="D9" s="70">
        <f>ROUND(AVERAGE(C9,E9),-2)</f>
        <v>5700</v>
      </c>
      <c r="E9" s="70">
        <v>6000</v>
      </c>
      <c r="F9" s="37">
        <v>1</v>
      </c>
      <c r="G9" s="142"/>
      <c r="H9" s="124"/>
    </row>
    <row r="10" spans="1:8" x14ac:dyDescent="0.3">
      <c r="A10" s="141"/>
      <c r="B10" s="20" t="s">
        <v>97</v>
      </c>
      <c r="C10" s="70">
        <f>ROUND(E31,-2)</f>
        <v>1800</v>
      </c>
      <c r="D10" s="70">
        <f>ROUND(AVERAGE(3750,E31),-2)</f>
        <v>2800</v>
      </c>
      <c r="E10" s="69">
        <v>4000</v>
      </c>
      <c r="F10" s="37">
        <v>2</v>
      </c>
      <c r="G10" s="142"/>
      <c r="H10" s="124"/>
    </row>
    <row r="11" spans="1:8" x14ac:dyDescent="0.3">
      <c r="A11" s="141"/>
      <c r="B11" s="20" t="s">
        <v>98</v>
      </c>
      <c r="C11" s="70">
        <v>5300</v>
      </c>
      <c r="D11" s="70">
        <f>ROUND(AVERAGE(C11,E11),-2)</f>
        <v>5700</v>
      </c>
      <c r="E11" s="70">
        <v>6000</v>
      </c>
      <c r="F11" s="37">
        <v>1</v>
      </c>
      <c r="G11" s="142"/>
      <c r="H11" s="124"/>
    </row>
    <row r="12" spans="1:8" x14ac:dyDescent="0.3">
      <c r="A12" s="141"/>
      <c r="B12" s="20" t="s">
        <v>43</v>
      </c>
      <c r="C12" s="70">
        <v>3000</v>
      </c>
      <c r="D12" s="70">
        <f t="shared" ref="D12" si="0">ROUND(AVERAGE(C12,E12),-2)</f>
        <v>4500</v>
      </c>
      <c r="E12" s="69">
        <v>6000</v>
      </c>
      <c r="F12" s="37">
        <v>1</v>
      </c>
      <c r="G12" s="142"/>
      <c r="H12" s="124"/>
    </row>
    <row r="13" spans="1:8" x14ac:dyDescent="0.3">
      <c r="A13" s="141"/>
      <c r="B13" s="20" t="s">
        <v>44</v>
      </c>
      <c r="C13" s="70">
        <f>ROUND(E34,-2)</f>
        <v>2600</v>
      </c>
      <c r="D13" s="70">
        <f>ROUND(AVERAGE(9250,E34),-2)</f>
        <v>5900</v>
      </c>
      <c r="E13" s="69">
        <v>10000</v>
      </c>
      <c r="F13" s="37">
        <v>2</v>
      </c>
      <c r="G13" s="142"/>
      <c r="H13" s="124"/>
    </row>
    <row r="14" spans="1:8" x14ac:dyDescent="0.3">
      <c r="A14" s="141"/>
      <c r="B14" s="20" t="s">
        <v>45</v>
      </c>
      <c r="C14" s="70">
        <v>3500</v>
      </c>
      <c r="D14" s="70">
        <f>ROUND(AVERAGE(C14,E14),-2)</f>
        <v>3800</v>
      </c>
      <c r="E14" s="69">
        <v>4000</v>
      </c>
      <c r="F14" s="37">
        <v>1</v>
      </c>
      <c r="G14" s="143"/>
      <c r="H14" s="125"/>
    </row>
    <row r="15" spans="1:8" ht="44.25" customHeight="1" x14ac:dyDescent="0.3">
      <c r="A15" s="21" t="s">
        <v>49</v>
      </c>
      <c r="C15" s="58">
        <v>10</v>
      </c>
      <c r="D15" s="58">
        <v>48</v>
      </c>
      <c r="E15" s="58">
        <v>50</v>
      </c>
      <c r="F15" s="58"/>
      <c r="G15" s="58"/>
      <c r="H15" s="58"/>
    </row>
    <row r="16" spans="1:8" x14ac:dyDescent="0.3">
      <c r="B16" s="13" t="s">
        <v>26</v>
      </c>
      <c r="C16" s="18">
        <v>1</v>
      </c>
      <c r="D16" s="18">
        <v>2</v>
      </c>
      <c r="E16" s="18">
        <v>3</v>
      </c>
      <c r="F16" s="58"/>
    </row>
    <row r="17" spans="1:12" x14ac:dyDescent="0.3">
      <c r="A17" s="139" t="s">
        <v>35</v>
      </c>
      <c r="B17" s="139"/>
      <c r="C17" s="37" t="s">
        <v>142</v>
      </c>
      <c r="D17" s="37" t="s">
        <v>142</v>
      </c>
      <c r="E17" s="37" t="s">
        <v>142</v>
      </c>
      <c r="F17" s="58"/>
    </row>
    <row r="18" spans="1:12" ht="86.4" x14ac:dyDescent="0.3">
      <c r="A18" s="139" t="s">
        <v>36</v>
      </c>
      <c r="B18" s="139"/>
      <c r="C18" s="43" t="s">
        <v>158</v>
      </c>
      <c r="D18" s="43" t="s">
        <v>650</v>
      </c>
      <c r="E18" s="43" t="s">
        <v>650</v>
      </c>
      <c r="F18" s="58"/>
    </row>
    <row r="19" spans="1:12" x14ac:dyDescent="0.3">
      <c r="A19" s="139" t="s">
        <v>37</v>
      </c>
      <c r="B19" s="139"/>
      <c r="C19" s="37" t="s">
        <v>143</v>
      </c>
      <c r="D19" s="37" t="s">
        <v>146</v>
      </c>
      <c r="E19" s="37" t="s">
        <v>108</v>
      </c>
      <c r="F19" s="58"/>
    </row>
    <row r="20" spans="1:12" ht="28.8" x14ac:dyDescent="0.3">
      <c r="A20" s="140" t="s">
        <v>38</v>
      </c>
      <c r="B20" s="140"/>
      <c r="C20" s="37" t="s">
        <v>115</v>
      </c>
      <c r="D20" s="43" t="s">
        <v>651</v>
      </c>
      <c r="E20" s="37" t="s">
        <v>108</v>
      </c>
      <c r="F20" s="58"/>
      <c r="G20" s="58"/>
      <c r="H20" s="58"/>
      <c r="I20" s="58"/>
    </row>
    <row r="21" spans="1:12" x14ac:dyDescent="0.3">
      <c r="A21" s="122" t="s">
        <v>27</v>
      </c>
      <c r="B21" s="122"/>
      <c r="C21" s="37">
        <v>4</v>
      </c>
      <c r="D21" s="37">
        <v>4</v>
      </c>
      <c r="E21" s="37">
        <v>2</v>
      </c>
      <c r="F21" s="58"/>
      <c r="G21" s="58"/>
      <c r="H21" s="58"/>
      <c r="I21" s="58"/>
      <c r="J21" s="58"/>
      <c r="K21" s="58"/>
      <c r="L21" s="36"/>
    </row>
    <row r="22" spans="1:12" x14ac:dyDescent="0.3">
      <c r="C22" s="78"/>
      <c r="D22" s="78"/>
      <c r="E22" s="78"/>
      <c r="F22" s="58"/>
    </row>
    <row r="23" spans="1:12" x14ac:dyDescent="0.3">
      <c r="A23" s="122" t="s">
        <v>2</v>
      </c>
      <c r="B23" s="122"/>
      <c r="C23" s="70" t="s">
        <v>108</v>
      </c>
      <c r="D23" s="70" t="s">
        <v>108</v>
      </c>
      <c r="E23" s="70" t="s">
        <v>662</v>
      </c>
      <c r="F23" s="58"/>
    </row>
    <row r="24" spans="1:12" ht="172.8" x14ac:dyDescent="0.3">
      <c r="A24" s="122" t="s">
        <v>13</v>
      </c>
      <c r="B24" s="122"/>
      <c r="C24" s="70" t="s">
        <v>105</v>
      </c>
      <c r="D24" s="41" t="s">
        <v>652</v>
      </c>
      <c r="E24" s="41" t="s">
        <v>663</v>
      </c>
      <c r="F24" s="58"/>
    </row>
    <row r="25" spans="1:12" x14ac:dyDescent="0.3">
      <c r="A25" s="122" t="s">
        <v>1</v>
      </c>
      <c r="B25" s="122"/>
      <c r="C25" s="70" t="s">
        <v>101</v>
      </c>
      <c r="D25" s="70" t="s">
        <v>101</v>
      </c>
      <c r="E25" s="70" t="s">
        <v>649</v>
      </c>
      <c r="F25" s="58"/>
    </row>
    <row r="26" spans="1:12" ht="57.6" x14ac:dyDescent="0.3">
      <c r="A26" s="122" t="s">
        <v>86</v>
      </c>
      <c r="B26" s="122"/>
      <c r="C26" s="41" t="s">
        <v>647</v>
      </c>
      <c r="D26" s="70" t="s">
        <v>108</v>
      </c>
      <c r="E26" s="70" t="s">
        <v>108</v>
      </c>
      <c r="F26" s="58"/>
    </row>
    <row r="27" spans="1:12" x14ac:dyDescent="0.3">
      <c r="A27" s="133" t="s">
        <v>3</v>
      </c>
      <c r="B27" s="19" t="s">
        <v>39</v>
      </c>
      <c r="C27" s="41" t="s">
        <v>108</v>
      </c>
      <c r="D27" s="70" t="s">
        <v>653</v>
      </c>
      <c r="E27" s="70">
        <v>1180</v>
      </c>
      <c r="F27" s="58"/>
    </row>
    <row r="28" spans="1:12" x14ac:dyDescent="0.3">
      <c r="A28" s="134"/>
      <c r="B28" s="19" t="s">
        <v>40</v>
      </c>
      <c r="C28" s="41" t="s">
        <v>108</v>
      </c>
      <c r="D28" s="70" t="s">
        <v>654</v>
      </c>
      <c r="E28" s="70" t="s">
        <v>108</v>
      </c>
      <c r="F28" s="58"/>
    </row>
    <row r="29" spans="1:12" x14ac:dyDescent="0.3">
      <c r="A29" s="134"/>
      <c r="B29" s="19" t="s">
        <v>41</v>
      </c>
      <c r="C29" s="41" t="s">
        <v>108</v>
      </c>
      <c r="D29" s="70" t="s">
        <v>655</v>
      </c>
      <c r="E29" s="70" t="s">
        <v>108</v>
      </c>
      <c r="F29" s="58"/>
    </row>
    <row r="30" spans="1:12" x14ac:dyDescent="0.3">
      <c r="A30" s="134"/>
      <c r="B30" s="19" t="s">
        <v>42</v>
      </c>
      <c r="C30" s="41" t="s">
        <v>108</v>
      </c>
      <c r="D30" s="70" t="s">
        <v>656</v>
      </c>
      <c r="E30" s="70" t="s">
        <v>108</v>
      </c>
      <c r="F30" s="58"/>
    </row>
    <row r="31" spans="1:12" x14ac:dyDescent="0.3">
      <c r="A31" s="134"/>
      <c r="B31" s="19" t="s">
        <v>97</v>
      </c>
      <c r="C31" s="41" t="s">
        <v>108</v>
      </c>
      <c r="D31" s="70" t="s">
        <v>655</v>
      </c>
      <c r="E31" s="70">
        <v>1766</v>
      </c>
      <c r="F31" s="58"/>
    </row>
    <row r="32" spans="1:12" x14ac:dyDescent="0.3">
      <c r="A32" s="134"/>
      <c r="B32" s="19" t="s">
        <v>98</v>
      </c>
      <c r="C32" s="41" t="s">
        <v>108</v>
      </c>
      <c r="D32" s="70" t="s">
        <v>656</v>
      </c>
      <c r="E32" s="70" t="s">
        <v>108</v>
      </c>
      <c r="F32" s="58"/>
    </row>
    <row r="33" spans="1:6" x14ac:dyDescent="0.3">
      <c r="A33" s="134"/>
      <c r="B33" s="19" t="s">
        <v>43</v>
      </c>
      <c r="C33" s="41" t="s">
        <v>108</v>
      </c>
      <c r="D33" s="70" t="s">
        <v>657</v>
      </c>
      <c r="E33" s="70" t="s">
        <v>108</v>
      </c>
      <c r="F33" s="58"/>
    </row>
    <row r="34" spans="1:6" x14ac:dyDescent="0.3">
      <c r="A34" s="134"/>
      <c r="B34" s="19" t="s">
        <v>44</v>
      </c>
      <c r="C34" s="41" t="s">
        <v>108</v>
      </c>
      <c r="D34" s="70" t="s">
        <v>658</v>
      </c>
      <c r="E34" s="70">
        <v>2550</v>
      </c>
      <c r="F34" s="58"/>
    </row>
    <row r="35" spans="1:6" x14ac:dyDescent="0.3">
      <c r="A35" s="135"/>
      <c r="B35" s="19" t="s">
        <v>45</v>
      </c>
      <c r="C35" s="41" t="s">
        <v>108</v>
      </c>
      <c r="D35" s="70" t="s">
        <v>655</v>
      </c>
      <c r="E35" s="70" t="s">
        <v>108</v>
      </c>
      <c r="F35" s="58"/>
    </row>
    <row r="36" spans="1:6" x14ac:dyDescent="0.3">
      <c r="C36" s="35"/>
      <c r="D36" s="35"/>
      <c r="E36" s="35"/>
      <c r="F36" s="58"/>
    </row>
    <row r="37" spans="1:6" ht="28.8" x14ac:dyDescent="0.3">
      <c r="A37" s="122" t="s">
        <v>68</v>
      </c>
      <c r="B37" s="122"/>
      <c r="C37" s="41" t="s">
        <v>108</v>
      </c>
      <c r="D37" s="40" t="s">
        <v>659</v>
      </c>
      <c r="E37" s="40" t="s">
        <v>108</v>
      </c>
      <c r="F37" s="58"/>
    </row>
    <row r="38" spans="1:6" x14ac:dyDescent="0.3">
      <c r="A38" s="122" t="s">
        <v>69</v>
      </c>
      <c r="B38" s="122"/>
      <c r="C38" s="41" t="s">
        <v>108</v>
      </c>
      <c r="D38" s="40" t="s">
        <v>468</v>
      </c>
      <c r="E38" s="40" t="s">
        <v>468</v>
      </c>
      <c r="F38" s="58"/>
    </row>
    <row r="39" spans="1:6" ht="129.6" x14ac:dyDescent="0.3">
      <c r="A39" s="122" t="s">
        <v>70</v>
      </c>
      <c r="B39" s="122"/>
      <c r="C39" s="41" t="s">
        <v>648</v>
      </c>
      <c r="D39" s="40" t="s">
        <v>660</v>
      </c>
      <c r="E39" s="40" t="s">
        <v>664</v>
      </c>
      <c r="F39" s="58"/>
    </row>
    <row r="40" spans="1:6" x14ac:dyDescent="0.3">
      <c r="A40" s="122" t="s">
        <v>71</v>
      </c>
      <c r="B40" s="122"/>
      <c r="C40" s="41" t="s">
        <v>108</v>
      </c>
      <c r="D40" s="40" t="s">
        <v>661</v>
      </c>
      <c r="E40" s="40" t="s">
        <v>108</v>
      </c>
      <c r="F40" s="58"/>
    </row>
    <row r="41" spans="1:6" ht="15" customHeight="1" x14ac:dyDescent="0.3">
      <c r="A41" s="132" t="s">
        <v>803</v>
      </c>
      <c r="B41" s="122"/>
      <c r="C41" s="41" t="s">
        <v>108</v>
      </c>
      <c r="D41" s="40" t="s">
        <v>108</v>
      </c>
      <c r="E41" s="40" t="s">
        <v>108</v>
      </c>
      <c r="F41" s="58"/>
    </row>
    <row r="42" spans="1:6" x14ac:dyDescent="0.3">
      <c r="A42" s="122" t="s">
        <v>73</v>
      </c>
      <c r="B42" s="122"/>
      <c r="C42" s="41" t="s">
        <v>108</v>
      </c>
      <c r="D42" s="40" t="s">
        <v>108</v>
      </c>
      <c r="E42" s="40" t="s">
        <v>108</v>
      </c>
      <c r="F42" s="58"/>
    </row>
    <row r="43" spans="1:6" x14ac:dyDescent="0.3">
      <c r="A43" s="122" t="s">
        <v>74</v>
      </c>
      <c r="B43" s="122"/>
      <c r="C43" s="41" t="s">
        <v>108</v>
      </c>
      <c r="D43" s="40" t="s">
        <v>108</v>
      </c>
      <c r="E43" s="40" t="s">
        <v>108</v>
      </c>
      <c r="F43" s="58"/>
    </row>
    <row r="45" spans="1:6" x14ac:dyDescent="0.3">
      <c r="A45" s="2" t="s">
        <v>742</v>
      </c>
    </row>
    <row r="46" spans="1:6" ht="15" thickBot="1" x14ac:dyDescent="0.35"/>
    <row r="47" spans="1:6" ht="15" thickBot="1" x14ac:dyDescent="0.35">
      <c r="A47" s="89" t="s">
        <v>734</v>
      </c>
      <c r="B47" s="90" t="s">
        <v>743</v>
      </c>
      <c r="C47" s="90" t="s">
        <v>744</v>
      </c>
      <c r="D47" s="90" t="s">
        <v>735</v>
      </c>
    </row>
    <row r="48" spans="1:6" ht="29.4" thickBot="1" x14ac:dyDescent="0.35">
      <c r="A48" s="91" t="s">
        <v>736</v>
      </c>
      <c r="B48" s="92" t="s">
        <v>745</v>
      </c>
      <c r="C48" s="92" t="s">
        <v>746</v>
      </c>
      <c r="D48" s="93">
        <v>7</v>
      </c>
    </row>
    <row r="49" spans="1:4" ht="29.4" thickBot="1" x14ac:dyDescent="0.35">
      <c r="A49" s="91" t="s">
        <v>737</v>
      </c>
      <c r="B49" s="92" t="s">
        <v>745</v>
      </c>
      <c r="C49" s="92" t="s">
        <v>746</v>
      </c>
      <c r="D49" s="93">
        <v>7</v>
      </c>
    </row>
    <row r="50" spans="1:4" ht="29.4" thickBot="1" x14ac:dyDescent="0.35">
      <c r="A50" s="91" t="s">
        <v>738</v>
      </c>
      <c r="B50" s="92" t="s">
        <v>745</v>
      </c>
      <c r="C50" s="92" t="s">
        <v>746</v>
      </c>
      <c r="D50" s="93">
        <v>9</v>
      </c>
    </row>
    <row r="51" spans="1:4" x14ac:dyDescent="0.3">
      <c r="A51" s="144" t="s">
        <v>739</v>
      </c>
      <c r="B51" s="144" t="s">
        <v>747</v>
      </c>
      <c r="C51" s="144" t="s">
        <v>748</v>
      </c>
      <c r="D51" s="94" t="s">
        <v>749</v>
      </c>
    </row>
    <row r="52" spans="1:4" x14ac:dyDescent="0.3">
      <c r="A52" s="145"/>
      <c r="B52" s="145"/>
      <c r="C52" s="145"/>
      <c r="D52" s="94" t="s">
        <v>750</v>
      </c>
    </row>
    <row r="53" spans="1:4" x14ac:dyDescent="0.3">
      <c r="A53" s="145"/>
      <c r="B53" s="145"/>
      <c r="C53" s="145"/>
      <c r="D53" s="94" t="s">
        <v>751</v>
      </c>
    </row>
    <row r="54" spans="1:4" ht="15" thickBot="1" x14ac:dyDescent="0.35">
      <c r="A54" s="146"/>
      <c r="B54" s="146"/>
      <c r="C54" s="146"/>
      <c r="D54" s="95" t="s">
        <v>752</v>
      </c>
    </row>
    <row r="55" spans="1:4" x14ac:dyDescent="0.3">
      <c r="A55" s="144" t="s">
        <v>741</v>
      </c>
      <c r="B55" s="144" t="s">
        <v>747</v>
      </c>
      <c r="C55" s="144" t="s">
        <v>753</v>
      </c>
      <c r="D55" s="94" t="s">
        <v>754</v>
      </c>
    </row>
    <row r="56" spans="1:4" x14ac:dyDescent="0.3">
      <c r="A56" s="145"/>
      <c r="B56" s="145"/>
      <c r="C56" s="145"/>
      <c r="D56" s="94" t="s">
        <v>755</v>
      </c>
    </row>
    <row r="57" spans="1:4" x14ac:dyDescent="0.3">
      <c r="A57" s="145"/>
      <c r="B57" s="145"/>
      <c r="C57" s="145"/>
      <c r="D57" s="94" t="s">
        <v>756</v>
      </c>
    </row>
    <row r="58" spans="1:4" ht="15" thickBot="1" x14ac:dyDescent="0.35">
      <c r="A58" s="146"/>
      <c r="B58" s="146"/>
      <c r="C58" s="146"/>
      <c r="D58" s="95" t="s">
        <v>757</v>
      </c>
    </row>
    <row r="59" spans="1:4" x14ac:dyDescent="0.3">
      <c r="A59" s="144" t="s">
        <v>758</v>
      </c>
      <c r="B59" s="144" t="s">
        <v>747</v>
      </c>
      <c r="C59" s="144" t="s">
        <v>753</v>
      </c>
      <c r="D59" s="94" t="s">
        <v>759</v>
      </c>
    </row>
    <row r="60" spans="1:4" x14ac:dyDescent="0.3">
      <c r="A60" s="145"/>
      <c r="B60" s="145"/>
      <c r="C60" s="145"/>
      <c r="D60" s="94" t="s">
        <v>760</v>
      </c>
    </row>
    <row r="61" spans="1:4" x14ac:dyDescent="0.3">
      <c r="A61" s="145"/>
      <c r="B61" s="145"/>
      <c r="C61" s="145"/>
      <c r="D61" s="94" t="s">
        <v>761</v>
      </c>
    </row>
    <row r="62" spans="1:4" ht="15" thickBot="1" x14ac:dyDescent="0.35">
      <c r="A62" s="146"/>
      <c r="B62" s="146"/>
      <c r="C62" s="146"/>
      <c r="D62" s="95" t="s">
        <v>762</v>
      </c>
    </row>
    <row r="63" spans="1:4" ht="53.4" thickBot="1" x14ac:dyDescent="0.35">
      <c r="A63" s="91" t="s">
        <v>763</v>
      </c>
      <c r="B63" s="92" t="s">
        <v>764</v>
      </c>
      <c r="C63" s="92" t="s">
        <v>765</v>
      </c>
      <c r="D63" s="95" t="s">
        <v>766</v>
      </c>
    </row>
  </sheetData>
  <mergeCells count="32">
    <mergeCell ref="A42:B42"/>
    <mergeCell ref="A43:B43"/>
    <mergeCell ref="A38:B38"/>
    <mergeCell ref="A17:B17"/>
    <mergeCell ref="A18:B18"/>
    <mergeCell ref="A19:B19"/>
    <mergeCell ref="A20:B20"/>
    <mergeCell ref="A23:B23"/>
    <mergeCell ref="A24:B24"/>
    <mergeCell ref="A25:B25"/>
    <mergeCell ref="A26:B26"/>
    <mergeCell ref="A27:A35"/>
    <mergeCell ref="A37:B37"/>
    <mergeCell ref="A39:B39"/>
    <mergeCell ref="A40:B40"/>
    <mergeCell ref="A41:B41"/>
    <mergeCell ref="A21:B21"/>
    <mergeCell ref="A4:B4"/>
    <mergeCell ref="C4:E4"/>
    <mergeCell ref="G4:G14"/>
    <mergeCell ref="H4:H14"/>
    <mergeCell ref="A5:B5"/>
    <mergeCell ref="A6:A14"/>
    <mergeCell ref="A59:A62"/>
    <mergeCell ref="B59:B62"/>
    <mergeCell ref="C59:C62"/>
    <mergeCell ref="A51:A54"/>
    <mergeCell ref="B51:B54"/>
    <mergeCell ref="C51:C54"/>
    <mergeCell ref="A55:A58"/>
    <mergeCell ref="B55:B58"/>
    <mergeCell ref="C55:C58"/>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42"/>
  <sheetViews>
    <sheetView zoomScale="55" zoomScaleNormal="55" workbookViewId="0">
      <selection activeCell="A3" sqref="A3"/>
    </sheetView>
  </sheetViews>
  <sheetFormatPr defaultColWidth="9.109375" defaultRowHeight="14.4" x14ac:dyDescent="0.3"/>
  <cols>
    <col min="1" max="1" width="11.109375" style="1" customWidth="1"/>
    <col min="2" max="2" width="45.33203125" style="1" customWidth="1"/>
    <col min="3" max="8" width="16.6640625" style="1" customWidth="1"/>
    <col min="9" max="10" width="16.88671875" style="1" customWidth="1"/>
    <col min="11" max="11" width="8.88671875" style="1" customWidth="1"/>
    <col min="12" max="16384" width="9.109375" style="1"/>
  </cols>
  <sheetData>
    <row r="1" spans="1:10" x14ac:dyDescent="0.3">
      <c r="A1" s="24" t="s">
        <v>89</v>
      </c>
      <c r="B1" s="25"/>
    </row>
    <row r="2" spans="1:10" ht="48" customHeight="1" x14ac:dyDescent="0.3">
      <c r="A2" s="21" t="s">
        <v>33</v>
      </c>
    </row>
    <row r="3" spans="1:10" ht="43.2" x14ac:dyDescent="0.3">
      <c r="C3" s="15" t="s">
        <v>28</v>
      </c>
      <c r="D3" s="15" t="s">
        <v>30</v>
      </c>
      <c r="E3" s="15" t="s">
        <v>29</v>
      </c>
      <c r="F3" s="14" t="s">
        <v>124</v>
      </c>
      <c r="G3" s="14" t="s">
        <v>31</v>
      </c>
      <c r="H3" s="14" t="s">
        <v>32</v>
      </c>
    </row>
    <row r="4" spans="1:10" x14ac:dyDescent="0.3">
      <c r="A4" s="139" t="s">
        <v>34</v>
      </c>
      <c r="B4" s="139"/>
      <c r="C4" s="136" t="s">
        <v>670</v>
      </c>
      <c r="D4" s="137"/>
      <c r="E4" s="138"/>
      <c r="F4" s="37">
        <v>8</v>
      </c>
      <c r="G4" s="148" t="s">
        <v>674</v>
      </c>
      <c r="H4" s="148" t="s">
        <v>732</v>
      </c>
    </row>
    <row r="5" spans="1:10" x14ac:dyDescent="0.3">
      <c r="A5" s="141" t="s">
        <v>3</v>
      </c>
      <c r="B5" s="20" t="s">
        <v>39</v>
      </c>
      <c r="C5" s="70">
        <v>1200</v>
      </c>
      <c r="D5" s="70">
        <f>ROUND(AVERAGE(2000,1800,2000,1200,1800,1650,1530),-2)</f>
        <v>1700</v>
      </c>
      <c r="E5" s="69">
        <f t="shared" ref="E5:E13" si="0">C25</f>
        <v>2000</v>
      </c>
      <c r="F5" s="37">
        <v>7</v>
      </c>
      <c r="G5" s="148"/>
      <c r="H5" s="148"/>
    </row>
    <row r="6" spans="1:10" x14ac:dyDescent="0.3">
      <c r="A6" s="141"/>
      <c r="B6" s="20" t="s">
        <v>40</v>
      </c>
      <c r="C6" s="70">
        <f>F26</f>
        <v>1300</v>
      </c>
      <c r="D6" s="70">
        <f>ROUND(AVERAGE(2500,1800,1300,2000,1627),-2)</f>
        <v>1800</v>
      </c>
      <c r="E6" s="69">
        <f t="shared" si="0"/>
        <v>2500</v>
      </c>
      <c r="F6" s="37">
        <v>5</v>
      </c>
      <c r="G6" s="148"/>
      <c r="H6" s="148"/>
    </row>
    <row r="7" spans="1:10" x14ac:dyDescent="0.3">
      <c r="A7" s="141"/>
      <c r="B7" s="20" t="s">
        <v>41</v>
      </c>
      <c r="C7" s="70">
        <f>F27</f>
        <v>1400</v>
      </c>
      <c r="D7" s="70">
        <f>ROUND(AVERAGE(C27,2500,F27,G27,J27),-2)</f>
        <v>2200</v>
      </c>
      <c r="E7" s="69">
        <f t="shared" si="0"/>
        <v>3000</v>
      </c>
      <c r="F7" s="37">
        <v>5</v>
      </c>
      <c r="G7" s="148"/>
      <c r="H7" s="148"/>
    </row>
    <row r="8" spans="1:10" x14ac:dyDescent="0.3">
      <c r="A8" s="141"/>
      <c r="B8" s="20" t="s">
        <v>42</v>
      </c>
      <c r="C8" s="70">
        <f>F28</f>
        <v>1600</v>
      </c>
      <c r="D8" s="70">
        <f>ROUND(AVERAGE(C28,F28,G28,J28),-2)</f>
        <v>2400</v>
      </c>
      <c r="E8" s="69">
        <f t="shared" si="0"/>
        <v>3500</v>
      </c>
      <c r="F8" s="37">
        <v>4</v>
      </c>
      <c r="G8" s="148"/>
      <c r="H8" s="148"/>
    </row>
    <row r="9" spans="1:10" x14ac:dyDescent="0.3">
      <c r="A9" s="141"/>
      <c r="B9" s="20" t="s">
        <v>97</v>
      </c>
      <c r="C9" s="70">
        <f>ROUND(J29,-2)</f>
        <v>1600</v>
      </c>
      <c r="D9" s="70">
        <f>ROUND(AVERAGE(C29,F29,I29,J29),-2)</f>
        <v>2300</v>
      </c>
      <c r="E9" s="69">
        <f t="shared" si="0"/>
        <v>4000</v>
      </c>
      <c r="F9" s="37">
        <v>4</v>
      </c>
      <c r="G9" s="148"/>
      <c r="H9" s="148"/>
    </row>
    <row r="10" spans="1:10" x14ac:dyDescent="0.3">
      <c r="A10" s="141"/>
      <c r="B10" s="20" t="s">
        <v>98</v>
      </c>
      <c r="C10" s="70">
        <f>ROUND(J30,-2)</f>
        <v>1700</v>
      </c>
      <c r="D10" s="70">
        <f>ROUND(AVERAGE(C30,F30,2950,J30),-2)</f>
        <v>2800</v>
      </c>
      <c r="E10" s="69">
        <f t="shared" si="0"/>
        <v>5000</v>
      </c>
      <c r="F10" s="37">
        <v>4</v>
      </c>
      <c r="G10" s="148"/>
      <c r="H10" s="148"/>
    </row>
    <row r="11" spans="1:10" x14ac:dyDescent="0.3">
      <c r="A11" s="141"/>
      <c r="B11" s="20" t="s">
        <v>43</v>
      </c>
      <c r="C11" s="70">
        <f>ROUND(J31,-2)</f>
        <v>1700</v>
      </c>
      <c r="D11" s="70">
        <f>ROUND(AVERAGE(C31,F31,J31),-2)</f>
        <v>3200</v>
      </c>
      <c r="E11" s="69">
        <f t="shared" si="0"/>
        <v>6000</v>
      </c>
      <c r="F11" s="37">
        <v>3</v>
      </c>
      <c r="G11" s="148"/>
      <c r="H11" s="148"/>
    </row>
    <row r="12" spans="1:10" x14ac:dyDescent="0.3">
      <c r="A12" s="141"/>
      <c r="B12" s="20" t="s">
        <v>44</v>
      </c>
      <c r="C12" s="70">
        <f>ROUND(J32,-2)</f>
        <v>1700</v>
      </c>
      <c r="D12" s="70">
        <f>ROUND(AVERAGE(C32,3750+1000+1500,E32,F32,2850,J32),-2)</f>
        <v>4300</v>
      </c>
      <c r="E12" s="69">
        <f t="shared" si="0"/>
        <v>7000</v>
      </c>
      <c r="F12" s="37">
        <v>6</v>
      </c>
      <c r="G12" s="148"/>
      <c r="H12" s="148"/>
    </row>
    <row r="13" spans="1:10" x14ac:dyDescent="0.3">
      <c r="A13" s="141"/>
      <c r="B13" s="20" t="s">
        <v>45</v>
      </c>
      <c r="C13" s="70">
        <f>ROUND(J33,-2)</f>
        <v>1700</v>
      </c>
      <c r="D13" s="70">
        <f>ROUND(AVERAGE(C33,F33,J33),-2)</f>
        <v>3200</v>
      </c>
      <c r="E13" s="69">
        <f t="shared" si="0"/>
        <v>6000</v>
      </c>
      <c r="F13" s="37">
        <v>3</v>
      </c>
      <c r="G13" s="148"/>
      <c r="H13" s="148"/>
    </row>
    <row r="14" spans="1:10" ht="44.25" customHeight="1" x14ac:dyDescent="0.3">
      <c r="A14" s="21" t="s">
        <v>49</v>
      </c>
      <c r="C14" s="58">
        <v>33</v>
      </c>
      <c r="D14" s="58">
        <v>10</v>
      </c>
      <c r="E14" s="58">
        <v>34</v>
      </c>
      <c r="F14" s="58">
        <v>35</v>
      </c>
      <c r="G14" s="58">
        <v>36</v>
      </c>
      <c r="H14" s="58">
        <v>42</v>
      </c>
      <c r="I14" s="58">
        <v>54</v>
      </c>
      <c r="J14" s="58">
        <v>53</v>
      </c>
    </row>
    <row r="15" spans="1:10" x14ac:dyDescent="0.3">
      <c r="B15" s="13" t="s">
        <v>26</v>
      </c>
      <c r="C15" s="18">
        <v>1</v>
      </c>
      <c r="D15" s="18">
        <v>2</v>
      </c>
      <c r="E15" s="18">
        <v>3</v>
      </c>
      <c r="F15" s="18">
        <v>4</v>
      </c>
      <c r="G15" s="18">
        <v>5</v>
      </c>
      <c r="H15" s="18">
        <v>6</v>
      </c>
      <c r="I15" s="18">
        <v>7</v>
      </c>
      <c r="J15" s="18">
        <v>8</v>
      </c>
    </row>
    <row r="16" spans="1:10" x14ac:dyDescent="0.3">
      <c r="A16" s="139" t="s">
        <v>35</v>
      </c>
      <c r="B16" s="139"/>
      <c r="C16" s="37" t="s">
        <v>288</v>
      </c>
      <c r="D16" s="37" t="s">
        <v>142</v>
      </c>
      <c r="E16" s="37" t="s">
        <v>142</v>
      </c>
      <c r="F16" s="37" t="s">
        <v>288</v>
      </c>
      <c r="G16" s="37" t="s">
        <v>142</v>
      </c>
      <c r="H16" s="37" t="s">
        <v>142</v>
      </c>
      <c r="I16" s="37" t="s">
        <v>142</v>
      </c>
      <c r="J16" s="37" t="s">
        <v>126</v>
      </c>
    </row>
    <row r="17" spans="1:12" ht="86.4" x14ac:dyDescent="0.3">
      <c r="A17" s="139" t="s">
        <v>36</v>
      </c>
      <c r="B17" s="139"/>
      <c r="C17" s="43" t="s">
        <v>512</v>
      </c>
      <c r="D17" s="43" t="s">
        <v>158</v>
      </c>
      <c r="E17" s="43" t="s">
        <v>526</v>
      </c>
      <c r="F17" s="43" t="s">
        <v>533</v>
      </c>
      <c r="G17" s="37" t="s">
        <v>108</v>
      </c>
      <c r="H17" s="43" t="s">
        <v>548</v>
      </c>
      <c r="I17" s="43" t="s">
        <v>532</v>
      </c>
      <c r="J17" s="43" t="s">
        <v>497</v>
      </c>
    </row>
    <row r="18" spans="1:12" ht="28.8" x14ac:dyDescent="0.3">
      <c r="A18" s="139" t="s">
        <v>37</v>
      </c>
      <c r="B18" s="139"/>
      <c r="C18" s="43" t="s">
        <v>213</v>
      </c>
      <c r="D18" s="37" t="s">
        <v>143</v>
      </c>
      <c r="E18" s="43" t="s">
        <v>524</v>
      </c>
      <c r="F18" s="37" t="s">
        <v>146</v>
      </c>
      <c r="G18" s="37" t="s">
        <v>108</v>
      </c>
      <c r="H18" s="37" t="s">
        <v>549</v>
      </c>
      <c r="I18" s="37" t="s">
        <v>108</v>
      </c>
      <c r="J18" s="37" t="s">
        <v>496</v>
      </c>
    </row>
    <row r="19" spans="1:12" ht="43.2" x14ac:dyDescent="0.3">
      <c r="A19" s="140" t="s">
        <v>38</v>
      </c>
      <c r="B19" s="140"/>
      <c r="C19" s="37" t="s">
        <v>115</v>
      </c>
      <c r="D19" s="37" t="s">
        <v>115</v>
      </c>
      <c r="E19" s="37" t="s">
        <v>343</v>
      </c>
      <c r="F19" s="37" t="s">
        <v>108</v>
      </c>
      <c r="G19" s="37" t="s">
        <v>115</v>
      </c>
      <c r="H19" s="37" t="s">
        <v>108</v>
      </c>
      <c r="I19" s="37" t="s">
        <v>343</v>
      </c>
      <c r="J19" s="43" t="s">
        <v>503</v>
      </c>
    </row>
    <row r="20" spans="1:12" x14ac:dyDescent="0.3">
      <c r="A20" s="122" t="s">
        <v>27</v>
      </c>
      <c r="B20" s="122"/>
      <c r="C20" s="37">
        <v>4</v>
      </c>
      <c r="D20" s="37">
        <v>4</v>
      </c>
      <c r="E20" s="37">
        <v>3</v>
      </c>
      <c r="F20" s="37">
        <v>5</v>
      </c>
      <c r="G20" s="37">
        <v>5</v>
      </c>
      <c r="H20" s="37">
        <v>2</v>
      </c>
      <c r="I20" s="37">
        <v>3</v>
      </c>
      <c r="J20" s="37">
        <v>5</v>
      </c>
      <c r="K20" s="58"/>
      <c r="L20" s="36"/>
    </row>
    <row r="21" spans="1:12" x14ac:dyDescent="0.3">
      <c r="C21" s="16"/>
      <c r="D21" s="16"/>
      <c r="E21" s="16"/>
      <c r="F21" s="16"/>
      <c r="G21" s="16"/>
      <c r="I21" s="16"/>
      <c r="J21" s="16"/>
    </row>
    <row r="22" spans="1:12" ht="57.6" x14ac:dyDescent="0.3">
      <c r="A22" s="122" t="s">
        <v>2</v>
      </c>
      <c r="B22" s="122"/>
      <c r="C22" s="70">
        <v>3000</v>
      </c>
      <c r="D22" s="41" t="s">
        <v>516</v>
      </c>
      <c r="E22" s="67" t="s">
        <v>108</v>
      </c>
      <c r="F22" s="67">
        <v>2040</v>
      </c>
      <c r="G22" s="67" t="s">
        <v>541</v>
      </c>
      <c r="H22" s="72">
        <v>1650</v>
      </c>
      <c r="I22" s="67">
        <v>2040</v>
      </c>
      <c r="J22" s="41" t="s">
        <v>499</v>
      </c>
    </row>
    <row r="23" spans="1:12" ht="100.8" x14ac:dyDescent="0.3">
      <c r="A23" s="122" t="s">
        <v>13</v>
      </c>
      <c r="B23" s="122"/>
      <c r="C23" s="70" t="s">
        <v>513</v>
      </c>
      <c r="D23" s="67" t="s">
        <v>105</v>
      </c>
      <c r="E23" s="67" t="s">
        <v>108</v>
      </c>
      <c r="F23" s="41" t="s">
        <v>534</v>
      </c>
      <c r="G23" s="41" t="s">
        <v>542</v>
      </c>
      <c r="H23" s="43" t="s">
        <v>551</v>
      </c>
      <c r="I23" s="41" t="s">
        <v>555</v>
      </c>
      <c r="J23" s="44">
        <v>500</v>
      </c>
    </row>
    <row r="24" spans="1:12" ht="28.8" x14ac:dyDescent="0.3">
      <c r="A24" s="122" t="s">
        <v>1</v>
      </c>
      <c r="B24" s="122"/>
      <c r="C24" s="70" t="s">
        <v>199</v>
      </c>
      <c r="D24" s="67" t="s">
        <v>101</v>
      </c>
      <c r="E24" s="41" t="s">
        <v>525</v>
      </c>
      <c r="F24" s="67" t="s">
        <v>447</v>
      </c>
      <c r="G24" s="41" t="s">
        <v>540</v>
      </c>
      <c r="H24" s="67" t="s">
        <v>480</v>
      </c>
      <c r="I24" s="41" t="s">
        <v>554</v>
      </c>
      <c r="J24" s="67" t="s">
        <v>498</v>
      </c>
    </row>
    <row r="25" spans="1:12" ht="57.6" x14ac:dyDescent="0.3">
      <c r="A25" s="133" t="s">
        <v>3</v>
      </c>
      <c r="B25" s="19" t="s">
        <v>39</v>
      </c>
      <c r="C25" s="70">
        <v>2000</v>
      </c>
      <c r="D25" s="123" t="s">
        <v>518</v>
      </c>
      <c r="E25" s="66" t="s">
        <v>531</v>
      </c>
      <c r="F25" s="41" t="s">
        <v>535</v>
      </c>
      <c r="G25" s="41" t="s">
        <v>545</v>
      </c>
      <c r="H25" s="72">
        <v>1650</v>
      </c>
      <c r="I25" s="67" t="s">
        <v>108</v>
      </c>
      <c r="J25" s="67">
        <f>1377.09/0.9</f>
        <v>1530.1</v>
      </c>
    </row>
    <row r="26" spans="1:12" x14ac:dyDescent="0.3">
      <c r="A26" s="134"/>
      <c r="B26" s="19" t="s">
        <v>40</v>
      </c>
      <c r="C26" s="70">
        <v>2500</v>
      </c>
      <c r="D26" s="125"/>
      <c r="E26" s="67" t="s">
        <v>108</v>
      </c>
      <c r="F26" s="67">
        <v>1300</v>
      </c>
      <c r="G26" s="67">
        <f>1800+200</f>
        <v>2000</v>
      </c>
      <c r="H26" s="40" t="s">
        <v>108</v>
      </c>
      <c r="I26" s="67" t="s">
        <v>108</v>
      </c>
      <c r="J26" s="67">
        <f>1464.62/0.9</f>
        <v>1627.3555555555554</v>
      </c>
      <c r="K26" s="71"/>
    </row>
    <row r="27" spans="1:12" ht="43.2" x14ac:dyDescent="0.3">
      <c r="A27" s="134"/>
      <c r="B27" s="19" t="s">
        <v>41</v>
      </c>
      <c r="C27" s="74">
        <v>3000</v>
      </c>
      <c r="D27" s="41" t="s">
        <v>520</v>
      </c>
      <c r="E27" s="67" t="s">
        <v>108</v>
      </c>
      <c r="F27" s="67">
        <v>1400</v>
      </c>
      <c r="G27" s="67">
        <v>2320</v>
      </c>
      <c r="H27" s="40" t="s">
        <v>108</v>
      </c>
      <c r="I27" s="67" t="s">
        <v>108</v>
      </c>
      <c r="J27" s="67">
        <f>1401.97/0.9</f>
        <v>1557.7444444444445</v>
      </c>
    </row>
    <row r="28" spans="1:12" x14ac:dyDescent="0.3">
      <c r="A28" s="134"/>
      <c r="B28" s="19" t="s">
        <v>42</v>
      </c>
      <c r="C28" s="74">
        <v>3500</v>
      </c>
      <c r="D28" s="67" t="s">
        <v>108</v>
      </c>
      <c r="E28" s="67" t="s">
        <v>108</v>
      </c>
      <c r="F28" s="67">
        <v>1600</v>
      </c>
      <c r="G28" s="67">
        <f>G27+400</f>
        <v>2720</v>
      </c>
      <c r="H28" s="40" t="s">
        <v>108</v>
      </c>
      <c r="I28" s="67" t="s">
        <v>108</v>
      </c>
      <c r="J28" s="67">
        <f>1493.14/0.9</f>
        <v>1659.0444444444445</v>
      </c>
    </row>
    <row r="29" spans="1:12" x14ac:dyDescent="0.3">
      <c r="A29" s="134"/>
      <c r="B29" s="19" t="s">
        <v>97</v>
      </c>
      <c r="C29" s="74">
        <v>4000</v>
      </c>
      <c r="D29" s="67" t="s">
        <v>108</v>
      </c>
      <c r="E29" s="67" t="s">
        <v>108</v>
      </c>
      <c r="F29" s="67">
        <v>1600</v>
      </c>
      <c r="G29" s="67" t="s">
        <v>108</v>
      </c>
      <c r="H29" s="40" t="s">
        <v>108</v>
      </c>
      <c r="I29" s="67">
        <v>2040</v>
      </c>
      <c r="J29" s="67">
        <f>1401.97/0.9</f>
        <v>1557.7444444444445</v>
      </c>
    </row>
    <row r="30" spans="1:12" x14ac:dyDescent="0.3">
      <c r="A30" s="134"/>
      <c r="B30" s="19" t="s">
        <v>98</v>
      </c>
      <c r="C30" s="74">
        <v>5000</v>
      </c>
      <c r="D30" s="67" t="s">
        <v>108</v>
      </c>
      <c r="E30" s="67" t="s">
        <v>108</v>
      </c>
      <c r="F30" s="67">
        <v>1750</v>
      </c>
      <c r="G30" s="67" t="s">
        <v>543</v>
      </c>
      <c r="H30" s="40" t="s">
        <v>108</v>
      </c>
      <c r="I30" s="67" t="s">
        <v>108</v>
      </c>
      <c r="J30" s="67">
        <f>1493.14/0.9</f>
        <v>1659.0444444444445</v>
      </c>
    </row>
    <row r="31" spans="1:12" x14ac:dyDescent="0.3">
      <c r="A31" s="134"/>
      <c r="B31" s="19" t="s">
        <v>43</v>
      </c>
      <c r="C31" s="74">
        <v>6000</v>
      </c>
      <c r="D31" s="67" t="s">
        <v>108</v>
      </c>
      <c r="E31" s="67" t="s">
        <v>108</v>
      </c>
      <c r="F31" s="67">
        <v>1800</v>
      </c>
      <c r="G31" s="67" t="s">
        <v>108</v>
      </c>
      <c r="H31" s="40" t="s">
        <v>108</v>
      </c>
      <c r="I31" s="67" t="s">
        <v>108</v>
      </c>
      <c r="J31" s="67">
        <f>1493.14/0.9</f>
        <v>1659.0444444444445</v>
      </c>
    </row>
    <row r="32" spans="1:12" ht="144" x14ac:dyDescent="0.3">
      <c r="A32" s="134"/>
      <c r="B32" s="19" t="s">
        <v>44</v>
      </c>
      <c r="C32" s="74">
        <v>7000</v>
      </c>
      <c r="D32" s="41" t="s">
        <v>521</v>
      </c>
      <c r="E32" s="67">
        <v>6000</v>
      </c>
      <c r="F32" s="67">
        <v>2100</v>
      </c>
      <c r="G32" s="41" t="s">
        <v>544</v>
      </c>
      <c r="H32" s="40" t="s">
        <v>108</v>
      </c>
      <c r="I32" s="67" t="s">
        <v>108</v>
      </c>
      <c r="J32" s="67">
        <f>1521.66/0.9</f>
        <v>1690.7333333333333</v>
      </c>
    </row>
    <row r="33" spans="1:10" x14ac:dyDescent="0.3">
      <c r="A33" s="135"/>
      <c r="B33" s="19" t="s">
        <v>45</v>
      </c>
      <c r="C33" s="74">
        <v>6000</v>
      </c>
      <c r="D33" s="67" t="s">
        <v>108</v>
      </c>
      <c r="E33" s="67" t="s">
        <v>108</v>
      </c>
      <c r="F33" s="67">
        <v>1800</v>
      </c>
      <c r="G33" s="67" t="s">
        <v>108</v>
      </c>
      <c r="H33" s="40" t="s">
        <v>108</v>
      </c>
      <c r="I33" s="67" t="s">
        <v>108</v>
      </c>
      <c r="J33" s="67">
        <f>1493.14/0.9</f>
        <v>1659.0444444444445</v>
      </c>
    </row>
    <row r="34" spans="1:10" x14ac:dyDescent="0.3">
      <c r="C34" s="38"/>
      <c r="D34" s="38"/>
      <c r="E34" s="38"/>
      <c r="F34" s="38"/>
      <c r="G34" s="38"/>
      <c r="H34" s="38"/>
      <c r="I34" s="38"/>
      <c r="J34" s="38"/>
    </row>
    <row r="35" spans="1:10" ht="144" x14ac:dyDescent="0.3">
      <c r="A35" s="122" t="s">
        <v>68</v>
      </c>
      <c r="B35" s="122"/>
      <c r="C35" s="40" t="s">
        <v>108</v>
      </c>
      <c r="D35" s="40" t="s">
        <v>517</v>
      </c>
      <c r="E35" s="40" t="s">
        <v>528</v>
      </c>
      <c r="F35" s="40" t="s">
        <v>536</v>
      </c>
      <c r="G35" s="40" t="s">
        <v>108</v>
      </c>
      <c r="H35" s="40" t="s">
        <v>108</v>
      </c>
      <c r="I35" s="40" t="s">
        <v>556</v>
      </c>
      <c r="J35" s="40" t="s">
        <v>108</v>
      </c>
    </row>
    <row r="36" spans="1:10" ht="144" x14ac:dyDescent="0.3">
      <c r="A36" s="122" t="s">
        <v>69</v>
      </c>
      <c r="B36" s="122"/>
      <c r="C36" s="40" t="s">
        <v>468</v>
      </c>
      <c r="D36" s="40" t="s">
        <v>468</v>
      </c>
      <c r="E36" s="40" t="s">
        <v>468</v>
      </c>
      <c r="F36" s="40" t="s">
        <v>468</v>
      </c>
      <c r="G36" s="40" t="s">
        <v>468</v>
      </c>
      <c r="H36" s="40" t="s">
        <v>468</v>
      </c>
      <c r="I36" s="40" t="s">
        <v>468</v>
      </c>
      <c r="J36" s="40" t="s">
        <v>508</v>
      </c>
    </row>
    <row r="37" spans="1:10" ht="409.6" x14ac:dyDescent="0.3">
      <c r="A37" s="122" t="s">
        <v>70</v>
      </c>
      <c r="B37" s="122"/>
      <c r="C37" s="40" t="s">
        <v>514</v>
      </c>
      <c r="D37" s="40" t="s">
        <v>523</v>
      </c>
      <c r="E37" s="40" t="s">
        <v>529</v>
      </c>
      <c r="F37" s="40" t="s">
        <v>537</v>
      </c>
      <c r="G37" s="46" t="s">
        <v>546</v>
      </c>
      <c r="H37" s="40" t="s">
        <v>553</v>
      </c>
      <c r="I37" s="40" t="s">
        <v>557</v>
      </c>
      <c r="J37" s="40" t="s">
        <v>507</v>
      </c>
    </row>
    <row r="38" spans="1:10" ht="57.6" x14ac:dyDescent="0.3">
      <c r="A38" s="122" t="s">
        <v>71</v>
      </c>
      <c r="B38" s="122"/>
      <c r="C38" s="40" t="s">
        <v>515</v>
      </c>
      <c r="D38" s="40" t="s">
        <v>522</v>
      </c>
      <c r="E38" s="40" t="s">
        <v>530</v>
      </c>
      <c r="F38" s="40" t="s">
        <v>538</v>
      </c>
      <c r="G38" s="40" t="s">
        <v>547</v>
      </c>
      <c r="H38" s="40" t="s">
        <v>552</v>
      </c>
      <c r="I38" s="40" t="s">
        <v>558</v>
      </c>
      <c r="J38" s="40" t="s">
        <v>502</v>
      </c>
    </row>
    <row r="39" spans="1:10" ht="288" x14ac:dyDescent="0.3">
      <c r="A39" s="132" t="s">
        <v>803</v>
      </c>
      <c r="B39" s="122"/>
      <c r="C39" s="40" t="s">
        <v>108</v>
      </c>
      <c r="D39" s="40" t="s">
        <v>519</v>
      </c>
      <c r="E39" s="40" t="s">
        <v>108</v>
      </c>
      <c r="F39" s="40" t="s">
        <v>108</v>
      </c>
      <c r="G39" s="40"/>
      <c r="H39" s="40" t="s">
        <v>550</v>
      </c>
      <c r="I39" s="40" t="s">
        <v>108</v>
      </c>
      <c r="J39" s="40" t="s">
        <v>500</v>
      </c>
    </row>
    <row r="40" spans="1:10" ht="72" x14ac:dyDescent="0.3">
      <c r="A40" s="122" t="s">
        <v>73</v>
      </c>
      <c r="B40" s="122"/>
      <c r="C40" s="40" t="s">
        <v>108</v>
      </c>
      <c r="D40" s="40" t="s">
        <v>108</v>
      </c>
      <c r="E40" s="40" t="s">
        <v>108</v>
      </c>
      <c r="F40" s="40" t="s">
        <v>108</v>
      </c>
      <c r="G40" s="40" t="s">
        <v>108</v>
      </c>
      <c r="H40" s="40" t="s">
        <v>108</v>
      </c>
      <c r="I40" s="40" t="s">
        <v>108</v>
      </c>
      <c r="J40" s="40" t="s">
        <v>501</v>
      </c>
    </row>
    <row r="41" spans="1:10" ht="28.8" x14ac:dyDescent="0.3">
      <c r="A41" s="122" t="s">
        <v>74</v>
      </c>
      <c r="B41" s="122"/>
      <c r="C41" s="40" t="s">
        <v>527</v>
      </c>
      <c r="D41" s="40" t="s">
        <v>108</v>
      </c>
      <c r="E41" s="40" t="s">
        <v>527</v>
      </c>
      <c r="F41" s="40" t="s">
        <v>539</v>
      </c>
      <c r="G41" s="40" t="s">
        <v>108</v>
      </c>
      <c r="H41" s="40" t="s">
        <v>527</v>
      </c>
      <c r="I41" s="40" t="s">
        <v>108</v>
      </c>
      <c r="J41" s="40" t="s">
        <v>108</v>
      </c>
    </row>
    <row r="42" spans="1:10" x14ac:dyDescent="0.3">
      <c r="B42" s="5"/>
      <c r="C42" s="6"/>
    </row>
  </sheetData>
  <mergeCells count="22">
    <mergeCell ref="A41:B41"/>
    <mergeCell ref="A35:B35"/>
    <mergeCell ref="A36:B36"/>
    <mergeCell ref="A37:B37"/>
    <mergeCell ref="A38:B38"/>
    <mergeCell ref="A39:B39"/>
    <mergeCell ref="A40:B40"/>
    <mergeCell ref="D25:D26"/>
    <mergeCell ref="H4:H13"/>
    <mergeCell ref="C4:E4"/>
    <mergeCell ref="G4:G13"/>
    <mergeCell ref="A5:A13"/>
    <mergeCell ref="A4:B4"/>
    <mergeCell ref="A22:B22"/>
    <mergeCell ref="A23:B23"/>
    <mergeCell ref="A24:B24"/>
    <mergeCell ref="A25:A33"/>
    <mergeCell ref="A16:B16"/>
    <mergeCell ref="A17:B17"/>
    <mergeCell ref="A18:B18"/>
    <mergeCell ref="A19:B19"/>
    <mergeCell ref="A20:B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45"/>
  <sheetViews>
    <sheetView zoomScale="70" zoomScaleNormal="70" workbookViewId="0">
      <selection activeCell="C2" sqref="C2"/>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90</v>
      </c>
      <c r="B1" s="25"/>
    </row>
    <row r="2" spans="1:8" ht="48" customHeight="1" x14ac:dyDescent="0.3">
      <c r="A2" s="21" t="s">
        <v>33</v>
      </c>
    </row>
    <row r="3" spans="1:8" ht="43.2" x14ac:dyDescent="0.3">
      <c r="C3" s="15" t="s">
        <v>28</v>
      </c>
      <c r="D3" s="15" t="s">
        <v>808</v>
      </c>
      <c r="E3" s="15" t="s">
        <v>29</v>
      </c>
      <c r="F3" s="14" t="s">
        <v>124</v>
      </c>
      <c r="G3" s="14" t="s">
        <v>31</v>
      </c>
      <c r="H3" s="14" t="s">
        <v>32</v>
      </c>
    </row>
    <row r="4" spans="1:8" x14ac:dyDescent="0.3">
      <c r="A4" s="139" t="s">
        <v>34</v>
      </c>
      <c r="B4" s="139"/>
      <c r="C4" s="136" t="s">
        <v>494</v>
      </c>
      <c r="D4" s="137"/>
      <c r="E4" s="138"/>
      <c r="F4" s="37">
        <v>5</v>
      </c>
      <c r="G4" s="148" t="s">
        <v>671</v>
      </c>
      <c r="H4" s="148" t="s">
        <v>672</v>
      </c>
    </row>
    <row r="5" spans="1:8" x14ac:dyDescent="0.3">
      <c r="A5" s="141" t="s">
        <v>3</v>
      </c>
      <c r="B5" s="20" t="s">
        <v>39</v>
      </c>
      <c r="C5" s="70">
        <f>ROUND(G26,-2)</f>
        <v>2500</v>
      </c>
      <c r="D5" s="70">
        <f>ROUND(AVERAGE(3000,G26),-2)</f>
        <v>2700</v>
      </c>
      <c r="E5" s="97">
        <v>3000</v>
      </c>
      <c r="F5" s="37">
        <v>2</v>
      </c>
      <c r="G5" s="148"/>
      <c r="H5" s="148"/>
    </row>
    <row r="6" spans="1:8" x14ac:dyDescent="0.3">
      <c r="A6" s="141"/>
      <c r="B6" s="20" t="s">
        <v>40</v>
      </c>
      <c r="C6" s="70">
        <f>ROUND(AVERAGE(G27),-2)</f>
        <v>2500</v>
      </c>
      <c r="D6" s="70">
        <f>ROUND(AVERAGE(G27),-2)</f>
        <v>2500</v>
      </c>
      <c r="E6" s="97">
        <f>ROUND(AVERAGE(G27),-2)</f>
        <v>2500</v>
      </c>
      <c r="F6" s="37">
        <v>1</v>
      </c>
      <c r="G6" s="148"/>
      <c r="H6" s="148"/>
    </row>
    <row r="7" spans="1:8" x14ac:dyDescent="0.3">
      <c r="A7" s="141"/>
      <c r="B7" s="20" t="s">
        <v>41</v>
      </c>
      <c r="C7" s="70">
        <f>ROUND(G28,-2)</f>
        <v>2500</v>
      </c>
      <c r="D7" s="70">
        <f>ROUND(AVERAGE(F28,G28),-2)</f>
        <v>2800</v>
      </c>
      <c r="E7" s="97">
        <f>F28</f>
        <v>3000</v>
      </c>
      <c r="F7" s="37">
        <v>2</v>
      </c>
      <c r="G7" s="148"/>
      <c r="H7" s="148"/>
    </row>
    <row r="8" spans="1:8" x14ac:dyDescent="0.3">
      <c r="A8" s="141"/>
      <c r="B8" s="20" t="s">
        <v>42</v>
      </c>
      <c r="C8" s="70">
        <f>ROUND(G29,-2)</f>
        <v>2600</v>
      </c>
      <c r="D8" s="70">
        <f>ROUND(G29,-2)</f>
        <v>2600</v>
      </c>
      <c r="E8" s="97">
        <f>ROUND(G29,-2)</f>
        <v>2600</v>
      </c>
      <c r="F8" s="37">
        <v>1</v>
      </c>
      <c r="G8" s="148"/>
      <c r="H8" s="148"/>
    </row>
    <row r="9" spans="1:8" x14ac:dyDescent="0.3">
      <c r="A9" s="141"/>
      <c r="B9" s="20" t="s">
        <v>97</v>
      </c>
      <c r="C9" s="70">
        <f>ROUND(G30,-2)</f>
        <v>2500</v>
      </c>
      <c r="D9" s="70">
        <f>ROUND(AVERAGE(4500,F30,G30),-2)</f>
        <v>3500</v>
      </c>
      <c r="E9" s="97">
        <v>5000</v>
      </c>
      <c r="F9" s="37">
        <v>3</v>
      </c>
      <c r="G9" s="148"/>
      <c r="H9" s="148"/>
    </row>
    <row r="10" spans="1:8" x14ac:dyDescent="0.3">
      <c r="A10" s="141"/>
      <c r="B10" s="20" t="s">
        <v>98</v>
      </c>
      <c r="C10" s="70">
        <f>ROUND(G31,-2)</f>
        <v>2600</v>
      </c>
      <c r="D10" s="70">
        <f>ROUND(AVERAGE(D31,G31),-2)</f>
        <v>2800</v>
      </c>
      <c r="E10" s="97">
        <f>D31</f>
        <v>3100</v>
      </c>
      <c r="F10" s="37">
        <v>2</v>
      </c>
      <c r="G10" s="148"/>
      <c r="H10" s="148"/>
    </row>
    <row r="11" spans="1:8" x14ac:dyDescent="0.3">
      <c r="A11" s="141"/>
      <c r="B11" s="20" t="s">
        <v>43</v>
      </c>
      <c r="C11" s="70">
        <f>ROUND(G32,-2)</f>
        <v>2600</v>
      </c>
      <c r="D11" s="70">
        <f>ROUND(AVERAGE(D32,F32,G32),-2)</f>
        <v>3300</v>
      </c>
      <c r="E11" s="97">
        <f>F32</f>
        <v>4000</v>
      </c>
      <c r="F11" s="37">
        <v>3</v>
      </c>
      <c r="G11" s="148"/>
      <c r="H11" s="148"/>
    </row>
    <row r="12" spans="1:8" x14ac:dyDescent="0.3">
      <c r="A12" s="141"/>
      <c r="B12" s="20" t="s">
        <v>44</v>
      </c>
      <c r="C12" s="70">
        <v>2600</v>
      </c>
      <c r="D12" s="70">
        <f>ROUND(AVERAGE(7000,D33,E33,F33,G33),-2)</f>
        <v>4300</v>
      </c>
      <c r="E12" s="97">
        <v>7000</v>
      </c>
      <c r="F12" s="37">
        <v>5</v>
      </c>
      <c r="G12" s="148"/>
      <c r="H12" s="148"/>
    </row>
    <row r="13" spans="1:8" x14ac:dyDescent="0.3">
      <c r="A13" s="141"/>
      <c r="B13" s="20" t="s">
        <v>45</v>
      </c>
      <c r="C13" s="70">
        <f>ROUND(G34,-2)</f>
        <v>2600</v>
      </c>
      <c r="D13" s="70">
        <f>ROUND(AVERAGE(F34,G34),-2)</f>
        <v>3000</v>
      </c>
      <c r="E13" s="69">
        <f>F34</f>
        <v>3500</v>
      </c>
      <c r="F13" s="37">
        <v>2</v>
      </c>
      <c r="G13" s="148"/>
      <c r="H13" s="148"/>
    </row>
    <row r="14" spans="1:8" ht="63" customHeight="1" x14ac:dyDescent="0.3">
      <c r="C14" s="16"/>
      <c r="D14" s="149" t="s">
        <v>809</v>
      </c>
      <c r="E14" s="150"/>
      <c r="F14" s="150"/>
      <c r="G14" s="150"/>
      <c r="H14" s="150"/>
    </row>
    <row r="15" spans="1:8" ht="44.25" customHeight="1" x14ac:dyDescent="0.3">
      <c r="A15" s="21" t="s">
        <v>49</v>
      </c>
      <c r="C15" s="62">
        <v>34</v>
      </c>
      <c r="D15" s="62">
        <v>37</v>
      </c>
      <c r="E15" s="62">
        <v>38</v>
      </c>
      <c r="F15" s="62">
        <v>39</v>
      </c>
      <c r="G15" s="58">
        <v>53</v>
      </c>
      <c r="H15" s="62"/>
    </row>
    <row r="16" spans="1:8" x14ac:dyDescent="0.3">
      <c r="B16" s="13" t="s">
        <v>26</v>
      </c>
      <c r="C16" s="18">
        <v>1</v>
      </c>
      <c r="D16" s="18">
        <v>2</v>
      </c>
      <c r="E16" s="18">
        <v>3</v>
      </c>
      <c r="F16" s="18">
        <v>4</v>
      </c>
      <c r="G16" s="18">
        <v>5</v>
      </c>
      <c r="H16" s="62"/>
    </row>
    <row r="17" spans="1:12" x14ac:dyDescent="0.3">
      <c r="A17" s="139" t="s">
        <v>35</v>
      </c>
      <c r="B17" s="139"/>
      <c r="C17" s="37" t="s">
        <v>142</v>
      </c>
      <c r="D17" s="37" t="s">
        <v>142</v>
      </c>
      <c r="E17" s="37" t="s">
        <v>142</v>
      </c>
      <c r="F17" s="37" t="s">
        <v>288</v>
      </c>
      <c r="G17" s="37" t="s">
        <v>126</v>
      </c>
      <c r="H17" s="62"/>
    </row>
    <row r="18" spans="1:12" ht="86.4" x14ac:dyDescent="0.3">
      <c r="A18" s="139" t="s">
        <v>36</v>
      </c>
      <c r="B18" s="139"/>
      <c r="C18" s="43" t="s">
        <v>526</v>
      </c>
      <c r="D18" s="43" t="s">
        <v>565</v>
      </c>
      <c r="E18" s="43" t="s">
        <v>570</v>
      </c>
      <c r="F18" s="37" t="s">
        <v>573</v>
      </c>
      <c r="G18" s="43" t="s">
        <v>497</v>
      </c>
      <c r="H18" s="62"/>
    </row>
    <row r="19" spans="1:12" ht="28.8" x14ac:dyDescent="0.3">
      <c r="A19" s="139" t="s">
        <v>37</v>
      </c>
      <c r="B19" s="139"/>
      <c r="C19" s="43" t="s">
        <v>524</v>
      </c>
      <c r="D19" s="37" t="s">
        <v>146</v>
      </c>
      <c r="E19" s="37" t="s">
        <v>108</v>
      </c>
      <c r="F19" s="37" t="s">
        <v>146</v>
      </c>
      <c r="G19" s="37" t="s">
        <v>496</v>
      </c>
      <c r="H19" s="62"/>
    </row>
    <row r="20" spans="1:12" ht="57.6" x14ac:dyDescent="0.3">
      <c r="A20" s="140" t="s">
        <v>38</v>
      </c>
      <c r="B20" s="140"/>
      <c r="C20" s="37" t="s">
        <v>343</v>
      </c>
      <c r="D20" s="37" t="s">
        <v>343</v>
      </c>
      <c r="E20" s="37" t="s">
        <v>343</v>
      </c>
      <c r="F20" s="37" t="s">
        <v>108</v>
      </c>
      <c r="G20" s="43" t="s">
        <v>503</v>
      </c>
      <c r="H20" s="62"/>
      <c r="I20" s="62"/>
      <c r="J20" s="62"/>
    </row>
    <row r="21" spans="1:12" x14ac:dyDescent="0.3">
      <c r="A21" s="122" t="s">
        <v>27</v>
      </c>
      <c r="B21" s="122"/>
      <c r="C21" s="37">
        <v>3</v>
      </c>
      <c r="D21" s="37">
        <v>4</v>
      </c>
      <c r="E21" s="37">
        <v>2</v>
      </c>
      <c r="F21" s="37">
        <v>4</v>
      </c>
      <c r="G21" s="37">
        <v>5</v>
      </c>
      <c r="H21" s="62"/>
      <c r="I21" s="62"/>
      <c r="J21" s="62"/>
      <c r="K21" s="58"/>
      <c r="L21" s="36"/>
    </row>
    <row r="22" spans="1:12" x14ac:dyDescent="0.3">
      <c r="C22" s="16"/>
      <c r="D22" s="16"/>
      <c r="E22" s="16"/>
      <c r="F22" s="16"/>
      <c r="G22" s="16"/>
      <c r="H22" s="62"/>
    </row>
    <row r="23" spans="1:12" x14ac:dyDescent="0.3">
      <c r="A23" s="122" t="s">
        <v>2</v>
      </c>
      <c r="B23" s="122"/>
      <c r="C23" s="67" t="s">
        <v>108</v>
      </c>
      <c r="D23" s="67">
        <v>3100</v>
      </c>
      <c r="E23" s="67">
        <v>2000</v>
      </c>
      <c r="F23" s="67">
        <v>3500</v>
      </c>
      <c r="G23" s="67" t="s">
        <v>108</v>
      </c>
      <c r="H23" s="62"/>
    </row>
    <row r="24" spans="1:12" ht="43.2" x14ac:dyDescent="0.3">
      <c r="A24" s="122" t="s">
        <v>13</v>
      </c>
      <c r="B24" s="122"/>
      <c r="C24" s="67" t="s">
        <v>108</v>
      </c>
      <c r="D24" s="41" t="s">
        <v>566</v>
      </c>
      <c r="E24" s="41" t="s">
        <v>571</v>
      </c>
      <c r="F24" s="67" t="s">
        <v>574</v>
      </c>
      <c r="G24" s="67" t="s">
        <v>108</v>
      </c>
      <c r="H24" s="62"/>
    </row>
    <row r="25" spans="1:12" ht="43.2" x14ac:dyDescent="0.3">
      <c r="A25" s="122" t="s">
        <v>1</v>
      </c>
      <c r="B25" s="122"/>
      <c r="C25" s="41" t="s">
        <v>525</v>
      </c>
      <c r="D25" s="98" t="s">
        <v>564</v>
      </c>
      <c r="E25" s="70" t="s">
        <v>563</v>
      </c>
      <c r="F25" s="41" t="s">
        <v>572</v>
      </c>
      <c r="G25" s="41" t="s">
        <v>504</v>
      </c>
      <c r="H25" s="62"/>
    </row>
    <row r="26" spans="1:12" x14ac:dyDescent="0.3">
      <c r="A26" s="133" t="s">
        <v>3</v>
      </c>
      <c r="B26" s="19" t="s">
        <v>39</v>
      </c>
      <c r="C26" s="66" t="s">
        <v>560</v>
      </c>
      <c r="D26" s="67" t="s">
        <v>108</v>
      </c>
      <c r="E26" s="67" t="s">
        <v>468</v>
      </c>
      <c r="F26" s="67" t="s">
        <v>468</v>
      </c>
      <c r="G26" s="67">
        <v>2494.8000000000002</v>
      </c>
      <c r="H26" s="62"/>
    </row>
    <row r="27" spans="1:12" x14ac:dyDescent="0.3">
      <c r="A27" s="134"/>
      <c r="B27" s="19" t="s">
        <v>40</v>
      </c>
      <c r="C27" s="67" t="s">
        <v>108</v>
      </c>
      <c r="D27" s="67" t="s">
        <v>108</v>
      </c>
      <c r="E27" s="67" t="s">
        <v>468</v>
      </c>
      <c r="F27" s="67" t="s">
        <v>468</v>
      </c>
      <c r="G27" s="67">
        <v>2540.61</v>
      </c>
      <c r="H27" s="62"/>
    </row>
    <row r="28" spans="1:12" x14ac:dyDescent="0.3">
      <c r="A28" s="134"/>
      <c r="B28" s="19" t="s">
        <v>41</v>
      </c>
      <c r="C28" s="67" t="s">
        <v>108</v>
      </c>
      <c r="D28" s="67" t="s">
        <v>108</v>
      </c>
      <c r="E28" s="67" t="s">
        <v>108</v>
      </c>
      <c r="F28" s="67">
        <v>3000</v>
      </c>
      <c r="G28" s="67">
        <v>2523.67</v>
      </c>
      <c r="H28" s="62"/>
    </row>
    <row r="29" spans="1:12" x14ac:dyDescent="0.3">
      <c r="A29" s="134"/>
      <c r="B29" s="19" t="s">
        <v>42</v>
      </c>
      <c r="C29" s="67" t="s">
        <v>108</v>
      </c>
      <c r="D29" s="67" t="s">
        <v>108</v>
      </c>
      <c r="E29" s="67" t="s">
        <v>108</v>
      </c>
      <c r="F29" s="67" t="s">
        <v>108</v>
      </c>
      <c r="G29" s="67">
        <v>2574.4900000000002</v>
      </c>
      <c r="H29" s="62"/>
    </row>
    <row r="30" spans="1:12" x14ac:dyDescent="0.3">
      <c r="A30" s="134"/>
      <c r="B30" s="19" t="s">
        <v>97</v>
      </c>
      <c r="C30" s="74" t="s">
        <v>561</v>
      </c>
      <c r="D30" s="67" t="s">
        <v>108</v>
      </c>
      <c r="E30" s="67" t="s">
        <v>108</v>
      </c>
      <c r="F30" s="67">
        <v>3500</v>
      </c>
      <c r="G30" s="67">
        <v>2523.67</v>
      </c>
      <c r="H30" s="62"/>
    </row>
    <row r="31" spans="1:12" x14ac:dyDescent="0.3">
      <c r="A31" s="134"/>
      <c r="B31" s="19" t="s">
        <v>98</v>
      </c>
      <c r="C31" s="74" t="s">
        <v>108</v>
      </c>
      <c r="D31" s="67">
        <v>3100</v>
      </c>
      <c r="E31" s="67" t="s">
        <v>108</v>
      </c>
      <c r="F31" s="67" t="s">
        <v>108</v>
      </c>
      <c r="G31" s="67">
        <v>2574.4900000000002</v>
      </c>
      <c r="H31" s="62"/>
    </row>
    <row r="32" spans="1:12" x14ac:dyDescent="0.3">
      <c r="A32" s="134"/>
      <c r="B32" s="19" t="s">
        <v>43</v>
      </c>
      <c r="C32" s="74" t="s">
        <v>108</v>
      </c>
      <c r="D32" s="67">
        <v>3300</v>
      </c>
      <c r="E32" s="67" t="s">
        <v>108</v>
      </c>
      <c r="F32" s="67">
        <v>4000</v>
      </c>
      <c r="G32" s="67">
        <v>2574.4900000000002</v>
      </c>
      <c r="H32" s="62"/>
    </row>
    <row r="33" spans="1:8" x14ac:dyDescent="0.3">
      <c r="A33" s="134"/>
      <c r="B33" s="19" t="s">
        <v>44</v>
      </c>
      <c r="C33" s="74" t="s">
        <v>559</v>
      </c>
      <c r="D33" s="67">
        <v>3500</v>
      </c>
      <c r="E33" s="67">
        <v>3800</v>
      </c>
      <c r="F33" s="67">
        <v>4500</v>
      </c>
      <c r="G33" s="67">
        <v>2601.1800000000003</v>
      </c>
      <c r="H33" s="62"/>
    </row>
    <row r="34" spans="1:8" x14ac:dyDescent="0.3">
      <c r="A34" s="135"/>
      <c r="B34" s="19" t="s">
        <v>45</v>
      </c>
      <c r="C34" s="67" t="s">
        <v>108</v>
      </c>
      <c r="D34" s="67" t="s">
        <v>108</v>
      </c>
      <c r="E34" s="67" t="s">
        <v>108</v>
      </c>
      <c r="F34" s="67">
        <v>3500</v>
      </c>
      <c r="G34" s="67">
        <v>2574.4900000000002</v>
      </c>
      <c r="H34" s="62"/>
    </row>
    <row r="35" spans="1:8" x14ac:dyDescent="0.3">
      <c r="C35" s="4"/>
      <c r="D35" s="38"/>
      <c r="E35" s="38"/>
      <c r="F35" s="38"/>
      <c r="G35" s="38"/>
      <c r="H35" s="62"/>
    </row>
    <row r="36" spans="1:8" ht="28.8" x14ac:dyDescent="0.3">
      <c r="A36" s="122" t="s">
        <v>68</v>
      </c>
      <c r="B36" s="122"/>
      <c r="C36" s="40" t="s">
        <v>108</v>
      </c>
      <c r="D36" s="40" t="s">
        <v>567</v>
      </c>
      <c r="E36" s="67" t="s">
        <v>108</v>
      </c>
      <c r="F36" s="40" t="s">
        <v>576</v>
      </c>
      <c r="G36" s="40" t="s">
        <v>108</v>
      </c>
      <c r="H36" s="62"/>
    </row>
    <row r="37" spans="1:8" ht="28.8" x14ac:dyDescent="0.3">
      <c r="A37" s="122" t="s">
        <v>69</v>
      </c>
      <c r="B37" s="122"/>
      <c r="C37" s="40" t="s">
        <v>468</v>
      </c>
      <c r="D37" s="40" t="s">
        <v>468</v>
      </c>
      <c r="E37" s="40" t="s">
        <v>108</v>
      </c>
      <c r="F37" s="40" t="s">
        <v>468</v>
      </c>
      <c r="G37" s="40" t="s">
        <v>505</v>
      </c>
      <c r="H37" s="62"/>
    </row>
    <row r="38" spans="1:8" ht="316.8" x14ac:dyDescent="0.3">
      <c r="A38" s="132" t="s">
        <v>803</v>
      </c>
      <c r="B38" s="122"/>
      <c r="C38" s="40" t="s">
        <v>562</v>
      </c>
      <c r="D38" s="40" t="s">
        <v>568</v>
      </c>
      <c r="E38" s="67" t="s">
        <v>108</v>
      </c>
      <c r="F38" s="40" t="s">
        <v>577</v>
      </c>
      <c r="G38" s="40" t="s">
        <v>673</v>
      </c>
      <c r="H38" s="62"/>
    </row>
    <row r="39" spans="1:8" ht="72" x14ac:dyDescent="0.3">
      <c r="A39" s="122" t="s">
        <v>71</v>
      </c>
      <c r="B39" s="122"/>
      <c r="C39" s="40" t="s">
        <v>462</v>
      </c>
      <c r="D39" s="40" t="s">
        <v>569</v>
      </c>
      <c r="E39" s="67" t="s">
        <v>108</v>
      </c>
      <c r="F39" s="40" t="s">
        <v>575</v>
      </c>
      <c r="G39" s="40" t="s">
        <v>502</v>
      </c>
      <c r="H39" s="62"/>
    </row>
    <row r="40" spans="1:8" ht="331.2" x14ac:dyDescent="0.3">
      <c r="A40" s="122" t="s">
        <v>72</v>
      </c>
      <c r="B40" s="122"/>
      <c r="C40" s="40" t="s">
        <v>108</v>
      </c>
      <c r="D40" s="67" t="s">
        <v>108</v>
      </c>
      <c r="E40" s="67" t="s">
        <v>108</v>
      </c>
      <c r="F40" s="40"/>
      <c r="G40" s="40" t="s">
        <v>506</v>
      </c>
      <c r="H40" s="62"/>
    </row>
    <row r="41" spans="1:8" ht="72" x14ac:dyDescent="0.3">
      <c r="A41" s="122" t="s">
        <v>73</v>
      </c>
      <c r="B41" s="122"/>
      <c r="C41" s="40" t="s">
        <v>108</v>
      </c>
      <c r="D41" s="67" t="s">
        <v>108</v>
      </c>
      <c r="E41" s="67" t="s">
        <v>108</v>
      </c>
      <c r="F41" s="40"/>
      <c r="G41" s="40" t="s">
        <v>501</v>
      </c>
      <c r="H41" s="62"/>
    </row>
    <row r="42" spans="1:8" ht="86.4" x14ac:dyDescent="0.3">
      <c r="A42" s="122" t="s">
        <v>74</v>
      </c>
      <c r="B42" s="122"/>
      <c r="C42" s="40" t="s">
        <v>108</v>
      </c>
      <c r="D42" s="41" t="s">
        <v>587</v>
      </c>
      <c r="E42" s="67" t="s">
        <v>108</v>
      </c>
      <c r="F42" s="40"/>
      <c r="G42" s="40" t="s">
        <v>108</v>
      </c>
      <c r="H42" s="62"/>
    </row>
    <row r="43" spans="1:8" x14ac:dyDescent="0.3">
      <c r="G43" s="62"/>
      <c r="H43" s="62"/>
    </row>
    <row r="44" spans="1:8" x14ac:dyDescent="0.3">
      <c r="G44" s="62"/>
      <c r="H44" s="62"/>
    </row>
    <row r="45" spans="1:8" x14ac:dyDescent="0.3">
      <c r="G45" s="62"/>
      <c r="H45" s="62"/>
    </row>
  </sheetData>
  <mergeCells count="22">
    <mergeCell ref="A39:B39"/>
    <mergeCell ref="A40:B40"/>
    <mergeCell ref="A41:B41"/>
    <mergeCell ref="A42:B42"/>
    <mergeCell ref="A24:B24"/>
    <mergeCell ref="A25:B25"/>
    <mergeCell ref="A26:A34"/>
    <mergeCell ref="A36:B36"/>
    <mergeCell ref="A37:B37"/>
    <mergeCell ref="A38:B38"/>
    <mergeCell ref="H4:H13"/>
    <mergeCell ref="A5:A13"/>
    <mergeCell ref="A23:B23"/>
    <mergeCell ref="A4:B4"/>
    <mergeCell ref="C4:E4"/>
    <mergeCell ref="G4:G13"/>
    <mergeCell ref="A17:B17"/>
    <mergeCell ref="A18:B18"/>
    <mergeCell ref="A19:B19"/>
    <mergeCell ref="A20:B20"/>
    <mergeCell ref="A21:B21"/>
    <mergeCell ref="D14:H1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L41"/>
  <sheetViews>
    <sheetView zoomScale="70" zoomScaleNormal="70" workbookViewId="0">
      <selection activeCell="H39" sqref="H39"/>
    </sheetView>
  </sheetViews>
  <sheetFormatPr defaultColWidth="9.109375" defaultRowHeight="14.4" x14ac:dyDescent="0.3"/>
  <cols>
    <col min="1" max="1" width="11.109375" style="1" customWidth="1"/>
    <col min="2" max="2" width="45.33203125" style="1" customWidth="1"/>
    <col min="3" max="8" width="16.6640625" style="1" customWidth="1"/>
    <col min="9" max="10" width="16.5546875" style="1" customWidth="1"/>
    <col min="11" max="11" width="8.88671875" style="1" customWidth="1"/>
    <col min="12" max="16384" width="9.109375" style="1"/>
  </cols>
  <sheetData>
    <row r="1" spans="1:10" x14ac:dyDescent="0.3">
      <c r="A1" s="24" t="s">
        <v>91</v>
      </c>
      <c r="B1" s="25"/>
    </row>
    <row r="2" spans="1:10" ht="48" customHeight="1" x14ac:dyDescent="0.3">
      <c r="A2" s="21" t="s">
        <v>33</v>
      </c>
    </row>
    <row r="3" spans="1:10" ht="43.2" x14ac:dyDescent="0.3">
      <c r="C3" s="15" t="s">
        <v>28</v>
      </c>
      <c r="D3" s="15" t="s">
        <v>30</v>
      </c>
      <c r="E3" s="15" t="s">
        <v>29</v>
      </c>
      <c r="F3" s="14" t="s">
        <v>124</v>
      </c>
      <c r="G3" s="14" t="s">
        <v>31</v>
      </c>
      <c r="H3" s="14" t="s">
        <v>32</v>
      </c>
    </row>
    <row r="4" spans="1:10" ht="14.4" customHeight="1" x14ac:dyDescent="0.3">
      <c r="A4" s="139" t="s">
        <v>34</v>
      </c>
      <c r="B4" s="139"/>
      <c r="C4" s="136" t="s">
        <v>494</v>
      </c>
      <c r="D4" s="137"/>
      <c r="E4" s="138"/>
      <c r="F4" s="37">
        <v>8</v>
      </c>
      <c r="G4" s="148" t="s">
        <v>675</v>
      </c>
      <c r="H4" s="148" t="s">
        <v>733</v>
      </c>
    </row>
    <row r="5" spans="1:10" x14ac:dyDescent="0.3">
      <c r="A5" s="141" t="s">
        <v>3</v>
      </c>
      <c r="B5" s="20" t="s">
        <v>39</v>
      </c>
      <c r="C5" s="70">
        <f>ROUND(J25,-2)</f>
        <v>1900</v>
      </c>
      <c r="D5" s="70">
        <f>ROUND(AVERAGE(C25,E25,2750,H25,J25),-2)</f>
        <v>2700</v>
      </c>
      <c r="E5" s="69">
        <f>ROUND(H25,-2)</f>
        <v>3800</v>
      </c>
      <c r="F5" s="37">
        <v>5</v>
      </c>
      <c r="G5" s="148"/>
      <c r="H5" s="148"/>
    </row>
    <row r="6" spans="1:10" x14ac:dyDescent="0.3">
      <c r="A6" s="141"/>
      <c r="B6" s="20" t="s">
        <v>40</v>
      </c>
      <c r="C6" s="70">
        <f>J26</f>
        <v>2200.2777777777778</v>
      </c>
      <c r="D6" s="70">
        <f>ROUND(AVERAGE(C26,E26,G26,H26,J26),-2)</f>
        <v>3300</v>
      </c>
      <c r="E6" s="69">
        <f>ROUND(H26,-2)</f>
        <v>4200</v>
      </c>
      <c r="F6" s="37">
        <v>5</v>
      </c>
      <c r="G6" s="148"/>
      <c r="H6" s="148"/>
    </row>
    <row r="7" spans="1:10" x14ac:dyDescent="0.3">
      <c r="A7" s="141"/>
      <c r="B7" s="20" t="s">
        <v>41</v>
      </c>
      <c r="C7" s="70">
        <f t="shared" ref="C7:C13" si="0">ROUND(J27,-2)</f>
        <v>2100</v>
      </c>
      <c r="D7" s="70">
        <f>ROUND(AVERAGE(C27,E27,3750,H27,J27),-2)</f>
        <v>3400</v>
      </c>
      <c r="E7" s="69">
        <f t="shared" ref="E7:E13" si="1">C27</f>
        <v>4500</v>
      </c>
      <c r="F7" s="37">
        <v>5</v>
      </c>
      <c r="G7" s="148"/>
      <c r="H7" s="148"/>
    </row>
    <row r="8" spans="1:10" x14ac:dyDescent="0.3">
      <c r="A8" s="141"/>
      <c r="B8" s="20" t="s">
        <v>42</v>
      </c>
      <c r="C8" s="70">
        <f t="shared" si="0"/>
        <v>2300</v>
      </c>
      <c r="D8" s="70">
        <f>ROUND(AVERAGE(C28,E28,4375,H28,J28),-2)</f>
        <v>3800</v>
      </c>
      <c r="E8" s="69">
        <f t="shared" si="1"/>
        <v>5000</v>
      </c>
      <c r="F8" s="37">
        <v>5</v>
      </c>
      <c r="G8" s="148"/>
      <c r="H8" s="148"/>
    </row>
    <row r="9" spans="1:10" x14ac:dyDescent="0.3">
      <c r="A9" s="141"/>
      <c r="B9" s="20" t="s">
        <v>97</v>
      </c>
      <c r="C9" s="70">
        <f t="shared" si="0"/>
        <v>2100</v>
      </c>
      <c r="D9" s="70">
        <f>ROUND(AVERAGE(C29,E29,4375,J29),-2)</f>
        <v>3800</v>
      </c>
      <c r="E9" s="69">
        <f t="shared" si="1"/>
        <v>5500</v>
      </c>
      <c r="F9" s="37">
        <v>4</v>
      </c>
      <c r="G9" s="148"/>
      <c r="H9" s="148"/>
    </row>
    <row r="10" spans="1:10" x14ac:dyDescent="0.3">
      <c r="A10" s="141"/>
      <c r="B10" s="20" t="s">
        <v>98</v>
      </c>
      <c r="C10" s="70">
        <f t="shared" si="0"/>
        <v>2300</v>
      </c>
      <c r="D10" s="70">
        <f>ROUND(AVERAGE(C30,E30,4750,J30),-2)</f>
        <v>4200</v>
      </c>
      <c r="E10" s="69">
        <f t="shared" si="1"/>
        <v>6000</v>
      </c>
      <c r="F10" s="37">
        <v>4</v>
      </c>
      <c r="G10" s="148"/>
      <c r="H10" s="148"/>
    </row>
    <row r="11" spans="1:10" x14ac:dyDescent="0.3">
      <c r="A11" s="141"/>
      <c r="B11" s="20" t="s">
        <v>43</v>
      </c>
      <c r="C11" s="70">
        <f t="shared" si="0"/>
        <v>2300</v>
      </c>
      <c r="D11" s="70">
        <f>ROUND(AVERAGE(C31,E31,G31,J31),-2)</f>
        <v>4400</v>
      </c>
      <c r="E11" s="69">
        <f t="shared" si="1"/>
        <v>6500</v>
      </c>
      <c r="F11" s="37">
        <v>4</v>
      </c>
      <c r="G11" s="148"/>
      <c r="H11" s="148"/>
    </row>
    <row r="12" spans="1:10" x14ac:dyDescent="0.3">
      <c r="A12" s="141"/>
      <c r="B12" s="20" t="s">
        <v>44</v>
      </c>
      <c r="C12" s="70">
        <f t="shared" si="0"/>
        <v>2500</v>
      </c>
      <c r="D12" s="70">
        <f>ROUND(AVERAGE(C32,8500,E32,5500,H32,J32),-2)</f>
        <v>5800</v>
      </c>
      <c r="E12" s="69">
        <f t="shared" si="1"/>
        <v>8000</v>
      </c>
      <c r="F12" s="37">
        <v>6</v>
      </c>
      <c r="G12" s="148"/>
      <c r="H12" s="148"/>
    </row>
    <row r="13" spans="1:10" x14ac:dyDescent="0.3">
      <c r="A13" s="141"/>
      <c r="B13" s="20" t="s">
        <v>45</v>
      </c>
      <c r="C13" s="70">
        <f t="shared" si="0"/>
        <v>2400</v>
      </c>
      <c r="D13" s="70">
        <f>ROUND(AVERAGE(C33,G33,J33),-2)</f>
        <v>4600</v>
      </c>
      <c r="E13" s="69">
        <f t="shared" si="1"/>
        <v>7000</v>
      </c>
      <c r="F13" s="37">
        <v>3</v>
      </c>
      <c r="G13" s="148"/>
      <c r="H13" s="148"/>
    </row>
    <row r="14" spans="1:10" ht="44.25" customHeight="1" x14ac:dyDescent="0.3">
      <c r="A14" s="21" t="s">
        <v>49</v>
      </c>
      <c r="C14" s="62">
        <v>33</v>
      </c>
      <c r="D14" s="62">
        <v>10</v>
      </c>
      <c r="E14" s="62">
        <v>35</v>
      </c>
      <c r="F14" s="62">
        <v>36</v>
      </c>
      <c r="G14" s="62">
        <v>40</v>
      </c>
      <c r="H14" s="62">
        <v>41</v>
      </c>
      <c r="I14" s="62">
        <v>54</v>
      </c>
      <c r="J14" s="58">
        <v>53</v>
      </c>
    </row>
    <row r="15" spans="1:10" x14ac:dyDescent="0.3">
      <c r="B15" s="13" t="s">
        <v>26</v>
      </c>
      <c r="C15" s="18">
        <v>1</v>
      </c>
      <c r="D15" s="18">
        <v>2</v>
      </c>
      <c r="E15" s="18">
        <v>3</v>
      </c>
      <c r="F15" s="18">
        <v>4</v>
      </c>
      <c r="G15" s="18">
        <v>5</v>
      </c>
      <c r="H15" s="18">
        <v>6</v>
      </c>
      <c r="I15" s="18">
        <v>7</v>
      </c>
      <c r="J15" s="18">
        <v>8</v>
      </c>
    </row>
    <row r="16" spans="1:10" x14ac:dyDescent="0.3">
      <c r="A16" s="139" t="s">
        <v>35</v>
      </c>
      <c r="B16" s="139"/>
      <c r="C16" s="37" t="s">
        <v>288</v>
      </c>
      <c r="D16" s="37" t="s">
        <v>142</v>
      </c>
      <c r="E16" s="37" t="s">
        <v>288</v>
      </c>
      <c r="F16" s="37" t="s">
        <v>142</v>
      </c>
      <c r="G16" s="37" t="s">
        <v>288</v>
      </c>
      <c r="H16" s="37" t="s">
        <v>578</v>
      </c>
      <c r="I16" s="37" t="s">
        <v>142</v>
      </c>
      <c r="J16" s="37" t="s">
        <v>126</v>
      </c>
    </row>
    <row r="17" spans="1:12" ht="86.4" x14ac:dyDescent="0.3">
      <c r="A17" s="139" t="s">
        <v>36</v>
      </c>
      <c r="B17" s="139"/>
      <c r="C17" s="43" t="s">
        <v>512</v>
      </c>
      <c r="D17" s="43" t="s">
        <v>158</v>
      </c>
      <c r="E17" s="43" t="s">
        <v>533</v>
      </c>
      <c r="F17" s="37" t="s">
        <v>108</v>
      </c>
      <c r="G17" s="43" t="s">
        <v>589</v>
      </c>
      <c r="H17" s="43" t="s">
        <v>580</v>
      </c>
      <c r="I17" s="43" t="s">
        <v>532</v>
      </c>
      <c r="J17" s="43" t="s">
        <v>497</v>
      </c>
    </row>
    <row r="18" spans="1:12" ht="28.8" x14ac:dyDescent="0.3">
      <c r="A18" s="139" t="s">
        <v>37</v>
      </c>
      <c r="B18" s="139"/>
      <c r="C18" s="43" t="s">
        <v>213</v>
      </c>
      <c r="D18" s="37" t="s">
        <v>143</v>
      </c>
      <c r="E18" s="37" t="s">
        <v>146</v>
      </c>
      <c r="F18" s="37" t="s">
        <v>108</v>
      </c>
      <c r="G18" s="37" t="s">
        <v>108</v>
      </c>
      <c r="H18" s="37" t="s">
        <v>496</v>
      </c>
      <c r="I18" s="37" t="s">
        <v>108</v>
      </c>
      <c r="J18" s="37" t="s">
        <v>496</v>
      </c>
    </row>
    <row r="19" spans="1:12" ht="57.6" x14ac:dyDescent="0.3">
      <c r="A19" s="140" t="s">
        <v>38</v>
      </c>
      <c r="B19" s="140"/>
      <c r="C19" s="37" t="s">
        <v>115</v>
      </c>
      <c r="D19" s="37" t="s">
        <v>115</v>
      </c>
      <c r="E19" s="37" t="s">
        <v>108</v>
      </c>
      <c r="F19" s="37" t="s">
        <v>115</v>
      </c>
      <c r="G19" s="37" t="s">
        <v>108</v>
      </c>
      <c r="H19" s="37" t="s">
        <v>115</v>
      </c>
      <c r="I19" s="37" t="s">
        <v>343</v>
      </c>
      <c r="J19" s="43" t="s">
        <v>503</v>
      </c>
    </row>
    <row r="20" spans="1:12" x14ac:dyDescent="0.3">
      <c r="A20" s="122" t="s">
        <v>27</v>
      </c>
      <c r="B20" s="122"/>
      <c r="C20" s="37">
        <v>4</v>
      </c>
      <c r="D20" s="37">
        <v>4</v>
      </c>
      <c r="E20" s="37">
        <v>5</v>
      </c>
      <c r="F20" s="37">
        <v>4</v>
      </c>
      <c r="G20" s="37">
        <v>4</v>
      </c>
      <c r="H20" s="37">
        <v>4</v>
      </c>
      <c r="I20" s="37">
        <v>2</v>
      </c>
      <c r="J20" s="37">
        <v>5</v>
      </c>
      <c r="K20" s="58"/>
      <c r="L20" s="36"/>
    </row>
    <row r="21" spans="1:12" x14ac:dyDescent="0.3">
      <c r="C21" s="16"/>
      <c r="D21" s="16"/>
      <c r="E21" s="16"/>
      <c r="F21" s="16"/>
      <c r="G21" s="16"/>
      <c r="H21" s="16"/>
      <c r="I21" s="16"/>
      <c r="J21" s="16"/>
    </row>
    <row r="22" spans="1:12" ht="57.6" x14ac:dyDescent="0.3">
      <c r="A22" s="122" t="s">
        <v>2</v>
      </c>
      <c r="B22" s="122"/>
      <c r="C22" s="67" t="s">
        <v>108</v>
      </c>
      <c r="D22" s="67">
        <v>5600</v>
      </c>
      <c r="E22" s="37" t="s">
        <v>108</v>
      </c>
      <c r="F22" s="56" t="s">
        <v>605</v>
      </c>
      <c r="G22" s="103" t="s">
        <v>108</v>
      </c>
      <c r="H22" s="74" t="s">
        <v>600</v>
      </c>
      <c r="I22" s="56" t="s">
        <v>606</v>
      </c>
      <c r="J22" s="67" t="s">
        <v>108</v>
      </c>
    </row>
    <row r="23" spans="1:12" ht="28.8" x14ac:dyDescent="0.3">
      <c r="A23" s="122" t="s">
        <v>13</v>
      </c>
      <c r="B23" s="122"/>
      <c r="C23" s="67" t="s">
        <v>108</v>
      </c>
      <c r="D23" s="41" t="s">
        <v>590</v>
      </c>
      <c r="E23" s="37" t="s">
        <v>108</v>
      </c>
      <c r="F23" s="37" t="s">
        <v>108</v>
      </c>
      <c r="G23" s="37" t="s">
        <v>108</v>
      </c>
      <c r="H23" s="41" t="s">
        <v>599</v>
      </c>
      <c r="I23" s="37" t="s">
        <v>108</v>
      </c>
      <c r="J23" s="67" t="s">
        <v>108</v>
      </c>
    </row>
    <row r="24" spans="1:12" ht="43.2" x14ac:dyDescent="0.3">
      <c r="A24" s="122" t="s">
        <v>1</v>
      </c>
      <c r="B24" s="122"/>
      <c r="C24" s="67" t="s">
        <v>199</v>
      </c>
      <c r="D24" s="67" t="s">
        <v>101</v>
      </c>
      <c r="E24" s="67" t="s">
        <v>447</v>
      </c>
      <c r="F24" s="41" t="s">
        <v>540</v>
      </c>
      <c r="G24" s="67" t="s">
        <v>588</v>
      </c>
      <c r="H24" s="67" t="s">
        <v>101</v>
      </c>
      <c r="I24" s="41" t="s">
        <v>554</v>
      </c>
      <c r="J24" s="41" t="s">
        <v>504</v>
      </c>
    </row>
    <row r="25" spans="1:12" ht="28.8" x14ac:dyDescent="0.3">
      <c r="A25" s="133" t="s">
        <v>3</v>
      </c>
      <c r="B25" s="19" t="s">
        <v>39</v>
      </c>
      <c r="C25" s="67">
        <v>3000</v>
      </c>
      <c r="D25" s="40" t="s">
        <v>108</v>
      </c>
      <c r="E25" s="67">
        <v>2200</v>
      </c>
      <c r="F25" s="56" t="s">
        <v>605</v>
      </c>
      <c r="G25" s="74" t="s">
        <v>612</v>
      </c>
      <c r="H25" s="74">
        <v>3784</v>
      </c>
      <c r="I25" s="37" t="s">
        <v>108</v>
      </c>
      <c r="J25" s="67">
        <f>1752.03/0.9</f>
        <v>1946.6999999999998</v>
      </c>
    </row>
    <row r="26" spans="1:12" x14ac:dyDescent="0.3">
      <c r="A26" s="134"/>
      <c r="B26" s="19" t="s">
        <v>40</v>
      </c>
      <c r="C26" s="67">
        <v>4000</v>
      </c>
      <c r="D26" s="40" t="s">
        <v>108</v>
      </c>
      <c r="E26" s="67">
        <v>2500</v>
      </c>
      <c r="F26" s="103" t="s">
        <v>108</v>
      </c>
      <c r="G26" s="74">
        <v>3500</v>
      </c>
      <c r="H26" s="74">
        <v>4197.6000000000004</v>
      </c>
      <c r="I26" s="37" t="s">
        <v>108</v>
      </c>
      <c r="J26" s="67">
        <f>1980.25/0.9</f>
        <v>2200.2777777777778</v>
      </c>
    </row>
    <row r="27" spans="1:12" x14ac:dyDescent="0.3">
      <c r="A27" s="134"/>
      <c r="B27" s="19" t="s">
        <v>41</v>
      </c>
      <c r="C27" s="67">
        <v>4500</v>
      </c>
      <c r="D27" s="40" t="s">
        <v>108</v>
      </c>
      <c r="E27" s="67">
        <v>2800</v>
      </c>
      <c r="F27" s="103" t="s">
        <v>108</v>
      </c>
      <c r="G27" s="74" t="s">
        <v>608</v>
      </c>
      <c r="H27" s="74">
        <v>3969.9</v>
      </c>
      <c r="I27" s="37" t="s">
        <v>108</v>
      </c>
      <c r="J27" s="70">
        <f>1855.5/0.9</f>
        <v>2061.6666666666665</v>
      </c>
    </row>
    <row r="28" spans="1:12" x14ac:dyDescent="0.3">
      <c r="A28" s="134"/>
      <c r="B28" s="19" t="s">
        <v>42</v>
      </c>
      <c r="C28" s="67">
        <v>5000</v>
      </c>
      <c r="D28" s="40" t="s">
        <v>108</v>
      </c>
      <c r="E28" s="67">
        <v>3100</v>
      </c>
      <c r="F28" s="103" t="s">
        <v>108</v>
      </c>
      <c r="G28" s="74" t="s">
        <v>609</v>
      </c>
      <c r="H28" s="74">
        <v>4383.5</v>
      </c>
      <c r="I28" s="37" t="s">
        <v>108</v>
      </c>
      <c r="J28" s="70">
        <f>2066.13/0.9</f>
        <v>2295.7000000000003</v>
      </c>
    </row>
    <row r="29" spans="1:12" ht="28.8" x14ac:dyDescent="0.3">
      <c r="A29" s="134"/>
      <c r="B29" s="19" t="s">
        <v>97</v>
      </c>
      <c r="C29" s="70">
        <v>5500</v>
      </c>
      <c r="D29" s="40" t="s">
        <v>108</v>
      </c>
      <c r="E29" s="67">
        <v>3400</v>
      </c>
      <c r="F29" s="103" t="s">
        <v>108</v>
      </c>
      <c r="G29" s="74" t="s">
        <v>609</v>
      </c>
      <c r="H29" s="56" t="s">
        <v>614</v>
      </c>
      <c r="I29" s="37" t="s">
        <v>108</v>
      </c>
      <c r="J29" s="70">
        <f>1855.5/0.9</f>
        <v>2061.6666666666665</v>
      </c>
    </row>
    <row r="30" spans="1:12" x14ac:dyDescent="0.3">
      <c r="A30" s="134"/>
      <c r="B30" s="19" t="s">
        <v>98</v>
      </c>
      <c r="C30" s="70">
        <v>6000</v>
      </c>
      <c r="D30" s="40" t="s">
        <v>108</v>
      </c>
      <c r="E30" s="67">
        <v>3700</v>
      </c>
      <c r="F30" s="37" t="s">
        <v>108</v>
      </c>
      <c r="G30" s="67" t="s">
        <v>610</v>
      </c>
      <c r="H30" s="67"/>
      <c r="I30" s="37" t="s">
        <v>108</v>
      </c>
      <c r="J30" s="70">
        <f>2066.13/0.9</f>
        <v>2295.7000000000003</v>
      </c>
    </row>
    <row r="31" spans="1:12" x14ac:dyDescent="0.3">
      <c r="A31" s="134"/>
      <c r="B31" s="19" t="s">
        <v>43</v>
      </c>
      <c r="C31" s="70">
        <v>6500</v>
      </c>
      <c r="D31" s="40" t="s">
        <v>108</v>
      </c>
      <c r="E31" s="67">
        <v>4000</v>
      </c>
      <c r="F31" s="37" t="s">
        <v>108</v>
      </c>
      <c r="G31" s="67">
        <v>5000</v>
      </c>
      <c r="H31" s="67"/>
      <c r="I31" s="37" t="s">
        <v>108</v>
      </c>
      <c r="J31" s="70">
        <f>2066.13/0.9</f>
        <v>2295.7000000000003</v>
      </c>
    </row>
    <row r="32" spans="1:12" x14ac:dyDescent="0.3">
      <c r="A32" s="134"/>
      <c r="B32" s="19" t="s">
        <v>44</v>
      </c>
      <c r="C32" s="70">
        <v>8000</v>
      </c>
      <c r="D32" s="67" t="s">
        <v>591</v>
      </c>
      <c r="E32" s="67">
        <v>3700</v>
      </c>
      <c r="F32" s="37" t="s">
        <v>108</v>
      </c>
      <c r="G32" s="67" t="s">
        <v>611</v>
      </c>
      <c r="H32" s="67">
        <v>6500</v>
      </c>
      <c r="I32" s="37" t="s">
        <v>108</v>
      </c>
      <c r="J32" s="70">
        <f>2277.34/0.9</f>
        <v>2530.3777777777777</v>
      </c>
    </row>
    <row r="33" spans="1:10" x14ac:dyDescent="0.3">
      <c r="A33" s="135"/>
      <c r="B33" s="19" t="s">
        <v>45</v>
      </c>
      <c r="C33" s="70">
        <v>7000</v>
      </c>
      <c r="D33" s="40" t="s">
        <v>108</v>
      </c>
      <c r="E33" s="67"/>
      <c r="F33" s="37" t="s">
        <v>108</v>
      </c>
      <c r="G33" s="67">
        <v>4500</v>
      </c>
      <c r="H33" s="67" t="s">
        <v>108</v>
      </c>
      <c r="I33" s="37" t="s">
        <v>108</v>
      </c>
      <c r="J33" s="70">
        <f>2164.71/0.9</f>
        <v>2405.2333333333331</v>
      </c>
    </row>
    <row r="34" spans="1:10" x14ac:dyDescent="0.3">
      <c r="C34" s="38"/>
      <c r="D34" s="38"/>
      <c r="E34" s="38"/>
      <c r="F34" s="38"/>
      <c r="G34" s="38"/>
      <c r="H34" s="38"/>
      <c r="I34" s="38"/>
      <c r="J34" s="38"/>
    </row>
    <row r="35" spans="1:10" ht="43.2" x14ac:dyDescent="0.3">
      <c r="A35" s="122" t="s">
        <v>68</v>
      </c>
      <c r="B35" s="122"/>
      <c r="C35" s="40" t="s">
        <v>585</v>
      </c>
      <c r="D35" s="40" t="s">
        <v>592</v>
      </c>
      <c r="E35" s="40" t="s">
        <v>592</v>
      </c>
      <c r="F35" s="40" t="s">
        <v>601</v>
      </c>
      <c r="G35" s="40" t="s">
        <v>592</v>
      </c>
      <c r="H35" s="40" t="s">
        <v>592</v>
      </c>
      <c r="I35" s="40" t="s">
        <v>601</v>
      </c>
      <c r="J35" s="40" t="s">
        <v>108</v>
      </c>
    </row>
    <row r="36" spans="1:10" ht="158.4" x14ac:dyDescent="0.3">
      <c r="A36" s="122" t="s">
        <v>69</v>
      </c>
      <c r="B36" s="122"/>
      <c r="C36" s="40" t="s">
        <v>468</v>
      </c>
      <c r="D36" s="40" t="s">
        <v>468</v>
      </c>
      <c r="E36" s="40" t="s">
        <v>108</v>
      </c>
      <c r="F36" s="40" t="s">
        <v>468</v>
      </c>
      <c r="G36" s="40" t="s">
        <v>468</v>
      </c>
      <c r="H36" s="40" t="s">
        <v>598</v>
      </c>
      <c r="I36" s="40" t="s">
        <v>468</v>
      </c>
      <c r="J36" s="40" t="s">
        <v>508</v>
      </c>
    </row>
    <row r="37" spans="1:10" ht="374.4" x14ac:dyDescent="0.3">
      <c r="A37" s="122" t="s">
        <v>70</v>
      </c>
      <c r="B37" s="122"/>
      <c r="C37" s="40" t="s">
        <v>593</v>
      </c>
      <c r="D37" s="40" t="s">
        <v>594</v>
      </c>
      <c r="E37" s="40" t="s">
        <v>602</v>
      </c>
      <c r="F37" s="40" t="s">
        <v>603</v>
      </c>
      <c r="G37" s="40" t="s">
        <v>607</v>
      </c>
      <c r="H37" s="40" t="s">
        <v>604</v>
      </c>
      <c r="I37" s="40" t="s">
        <v>557</v>
      </c>
      <c r="J37" s="40" t="s">
        <v>511</v>
      </c>
    </row>
    <row r="38" spans="1:10" ht="57.6" x14ac:dyDescent="0.3">
      <c r="A38" s="122" t="s">
        <v>71</v>
      </c>
      <c r="B38" s="122"/>
      <c r="C38" s="40" t="s">
        <v>586</v>
      </c>
      <c r="D38" s="40" t="s">
        <v>595</v>
      </c>
      <c r="E38" s="40" t="s">
        <v>596</v>
      </c>
      <c r="F38" s="40" t="s">
        <v>108</v>
      </c>
      <c r="G38" s="40" t="s">
        <v>597</v>
      </c>
      <c r="H38" s="40" t="s">
        <v>108</v>
      </c>
      <c r="I38" s="40" t="s">
        <v>108</v>
      </c>
      <c r="J38" s="40" t="s">
        <v>510</v>
      </c>
    </row>
    <row r="39" spans="1:10" ht="409.6" x14ac:dyDescent="0.3">
      <c r="A39" s="132" t="s">
        <v>803</v>
      </c>
      <c r="B39" s="122"/>
      <c r="C39" s="40" t="s">
        <v>108</v>
      </c>
      <c r="D39" s="40" t="s">
        <v>108</v>
      </c>
      <c r="E39" s="40" t="s">
        <v>108</v>
      </c>
      <c r="F39" s="40" t="s">
        <v>108</v>
      </c>
      <c r="G39" s="40" t="s">
        <v>108</v>
      </c>
      <c r="H39" s="40" t="s">
        <v>613</v>
      </c>
      <c r="I39" s="40" t="s">
        <v>108</v>
      </c>
      <c r="J39" s="40" t="s">
        <v>509</v>
      </c>
    </row>
    <row r="40" spans="1:10" ht="72" x14ac:dyDescent="0.3">
      <c r="A40" s="122" t="s">
        <v>73</v>
      </c>
      <c r="B40" s="122"/>
      <c r="C40" s="40" t="s">
        <v>108</v>
      </c>
      <c r="D40" s="40" t="s">
        <v>108</v>
      </c>
      <c r="E40" s="40" t="s">
        <v>108</v>
      </c>
      <c r="F40" s="40" t="s">
        <v>108</v>
      </c>
      <c r="G40" s="40" t="s">
        <v>108</v>
      </c>
      <c r="H40" s="40" t="s">
        <v>108</v>
      </c>
      <c r="I40" s="40" t="s">
        <v>108</v>
      </c>
      <c r="J40" s="40" t="s">
        <v>501</v>
      </c>
    </row>
    <row r="41" spans="1:10" x14ac:dyDescent="0.3">
      <c r="A41" s="122" t="s">
        <v>74</v>
      </c>
      <c r="B41" s="122"/>
      <c r="C41" s="40" t="s">
        <v>108</v>
      </c>
      <c r="D41" s="40" t="s">
        <v>108</v>
      </c>
      <c r="E41" s="40" t="s">
        <v>108</v>
      </c>
      <c r="F41" s="40" t="s">
        <v>108</v>
      </c>
      <c r="G41" s="40" t="s">
        <v>108</v>
      </c>
      <c r="H41" s="40" t="s">
        <v>108</v>
      </c>
      <c r="I41" s="40" t="s">
        <v>108</v>
      </c>
      <c r="J41" s="40" t="s">
        <v>108</v>
      </c>
    </row>
  </sheetData>
  <mergeCells count="21">
    <mergeCell ref="A38:B38"/>
    <mergeCell ref="A39:B39"/>
    <mergeCell ref="A40:B40"/>
    <mergeCell ref="A41:B41"/>
    <mergeCell ref="A23:B23"/>
    <mergeCell ref="A24:B24"/>
    <mergeCell ref="A25:A33"/>
    <mergeCell ref="A35:B35"/>
    <mergeCell ref="A36:B36"/>
    <mergeCell ref="A37:B37"/>
    <mergeCell ref="H4:H13"/>
    <mergeCell ref="A5:A13"/>
    <mergeCell ref="A22:B22"/>
    <mergeCell ref="A4:B4"/>
    <mergeCell ref="C4:E4"/>
    <mergeCell ref="G4:G13"/>
    <mergeCell ref="A16:B16"/>
    <mergeCell ref="A17:B17"/>
    <mergeCell ref="A18:B18"/>
    <mergeCell ref="A19:B19"/>
    <mergeCell ref="A20:B20"/>
  </mergeCells>
  <pageMargins left="0.7" right="0.7" top="0.75" bottom="0.75" header="0.3" footer="0.3"/>
  <pageSetup paperSize="9" orientation="portrait"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40"/>
  <sheetViews>
    <sheetView zoomScale="70" zoomScaleNormal="70" workbookViewId="0">
      <selection activeCell="A2" sqref="A2"/>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12" x14ac:dyDescent="0.3">
      <c r="A1" s="24" t="s">
        <v>92</v>
      </c>
      <c r="B1" s="25"/>
    </row>
    <row r="2" spans="1:12" ht="48" customHeight="1" x14ac:dyDescent="0.3">
      <c r="A2" s="21"/>
    </row>
    <row r="3" spans="1:12" ht="44.25" customHeight="1" x14ac:dyDescent="0.3">
      <c r="A3" s="21" t="s">
        <v>49</v>
      </c>
      <c r="C3" s="58">
        <v>41</v>
      </c>
    </row>
    <row r="4" spans="1:12" x14ac:dyDescent="0.3">
      <c r="B4" s="13" t="s">
        <v>26</v>
      </c>
      <c r="C4" s="18">
        <v>1</v>
      </c>
    </row>
    <row r="5" spans="1:12" x14ac:dyDescent="0.3">
      <c r="A5" s="139" t="s">
        <v>35</v>
      </c>
      <c r="B5" s="139"/>
      <c r="C5" s="37" t="s">
        <v>578</v>
      </c>
    </row>
    <row r="6" spans="1:12" ht="43.2" x14ac:dyDescent="0.3">
      <c r="A6" s="139" t="s">
        <v>36</v>
      </c>
      <c r="B6" s="139"/>
      <c r="C6" s="43" t="s">
        <v>580</v>
      </c>
    </row>
    <row r="7" spans="1:12" x14ac:dyDescent="0.3">
      <c r="A7" s="139" t="s">
        <v>37</v>
      </c>
      <c r="B7" s="139"/>
      <c r="C7" s="37" t="s">
        <v>496</v>
      </c>
    </row>
    <row r="8" spans="1:12" x14ac:dyDescent="0.3">
      <c r="A8" s="140" t="s">
        <v>38</v>
      </c>
      <c r="B8" s="140"/>
      <c r="C8" s="37" t="s">
        <v>115</v>
      </c>
    </row>
    <row r="9" spans="1:12" x14ac:dyDescent="0.3">
      <c r="A9" s="122" t="s">
        <v>27</v>
      </c>
      <c r="B9" s="122"/>
      <c r="C9" s="37">
        <v>4</v>
      </c>
      <c r="K9" s="58"/>
      <c r="L9" s="36"/>
    </row>
    <row r="10" spans="1:12" x14ac:dyDescent="0.3">
      <c r="C10" s="16"/>
    </row>
    <row r="11" spans="1:12" x14ac:dyDescent="0.3">
      <c r="A11" s="122" t="s">
        <v>2</v>
      </c>
      <c r="B11" s="122"/>
      <c r="C11" s="67" t="s">
        <v>108</v>
      </c>
    </row>
    <row r="12" spans="1:12" x14ac:dyDescent="0.3">
      <c r="A12" s="122" t="s">
        <v>13</v>
      </c>
      <c r="B12" s="122"/>
      <c r="C12" s="67" t="s">
        <v>108</v>
      </c>
    </row>
    <row r="13" spans="1:12" x14ac:dyDescent="0.3">
      <c r="A13" s="122" t="s">
        <v>1</v>
      </c>
      <c r="B13" s="122"/>
      <c r="C13" s="67" t="s">
        <v>101</v>
      </c>
    </row>
    <row r="14" spans="1:12" ht="57.6" x14ac:dyDescent="0.3">
      <c r="A14" s="139" t="s">
        <v>198</v>
      </c>
      <c r="B14" s="139"/>
      <c r="C14" s="41" t="s">
        <v>581</v>
      </c>
    </row>
    <row r="15" spans="1:12" x14ac:dyDescent="0.3">
      <c r="A15" s="133" t="s">
        <v>3</v>
      </c>
      <c r="B15" s="19" t="s">
        <v>39</v>
      </c>
      <c r="C15" s="40" t="s">
        <v>108</v>
      </c>
    </row>
    <row r="16" spans="1:12" x14ac:dyDescent="0.3">
      <c r="A16" s="134"/>
      <c r="B16" s="19" t="s">
        <v>40</v>
      </c>
      <c r="C16" s="40" t="s">
        <v>108</v>
      </c>
    </row>
    <row r="17" spans="1:3" x14ac:dyDescent="0.3">
      <c r="A17" s="134"/>
      <c r="B17" s="19" t="s">
        <v>41</v>
      </c>
      <c r="C17" s="40" t="s">
        <v>108</v>
      </c>
    </row>
    <row r="18" spans="1:3" x14ac:dyDescent="0.3">
      <c r="A18" s="134"/>
      <c r="B18" s="19" t="s">
        <v>42</v>
      </c>
      <c r="C18" s="40" t="s">
        <v>108</v>
      </c>
    </row>
    <row r="19" spans="1:3" x14ac:dyDescent="0.3">
      <c r="A19" s="134"/>
      <c r="B19" s="19" t="s">
        <v>97</v>
      </c>
      <c r="C19" s="40" t="s">
        <v>108</v>
      </c>
    </row>
    <row r="20" spans="1:3" x14ac:dyDescent="0.3">
      <c r="A20" s="134"/>
      <c r="B20" s="19" t="s">
        <v>98</v>
      </c>
      <c r="C20" s="40" t="s">
        <v>108</v>
      </c>
    </row>
    <row r="21" spans="1:3" x14ac:dyDescent="0.3">
      <c r="A21" s="134"/>
      <c r="B21" s="19" t="s">
        <v>43</v>
      </c>
      <c r="C21" s="40" t="s">
        <v>108</v>
      </c>
    </row>
    <row r="22" spans="1:3" x14ac:dyDescent="0.3">
      <c r="A22" s="134"/>
      <c r="B22" s="19" t="s">
        <v>44</v>
      </c>
      <c r="C22" s="40" t="s">
        <v>108</v>
      </c>
    </row>
    <row r="23" spans="1:3" x14ac:dyDescent="0.3">
      <c r="A23" s="135"/>
      <c r="B23" s="19" t="s">
        <v>45</v>
      </c>
      <c r="C23" s="40" t="s">
        <v>108</v>
      </c>
    </row>
    <row r="24" spans="1:3" x14ac:dyDescent="0.3">
      <c r="C24" s="38"/>
    </row>
    <row r="25" spans="1:3" ht="43.2" x14ac:dyDescent="0.3">
      <c r="A25" s="122" t="s">
        <v>68</v>
      </c>
      <c r="B25" s="122"/>
      <c r="C25" s="40" t="s">
        <v>582</v>
      </c>
    </row>
    <row r="26" spans="1:3" ht="144" x14ac:dyDescent="0.3">
      <c r="A26" s="122" t="s">
        <v>69</v>
      </c>
      <c r="B26" s="122"/>
      <c r="C26" s="40" t="s">
        <v>584</v>
      </c>
    </row>
    <row r="27" spans="1:3" ht="43.2" x14ac:dyDescent="0.3">
      <c r="A27" s="122" t="s">
        <v>70</v>
      </c>
      <c r="B27" s="122"/>
      <c r="C27" s="40" t="s">
        <v>583</v>
      </c>
    </row>
    <row r="28" spans="1:3" x14ac:dyDescent="0.3">
      <c r="A28" s="122" t="s">
        <v>71</v>
      </c>
      <c r="B28" s="122"/>
      <c r="C28" s="40" t="s">
        <v>108</v>
      </c>
    </row>
    <row r="29" spans="1:3" ht="15" customHeight="1" x14ac:dyDescent="0.3">
      <c r="A29" s="132" t="s">
        <v>803</v>
      </c>
      <c r="B29" s="122"/>
      <c r="C29" s="40" t="s">
        <v>108</v>
      </c>
    </row>
    <row r="30" spans="1:3" ht="57.6" x14ac:dyDescent="0.3">
      <c r="A30" s="122" t="s">
        <v>73</v>
      </c>
      <c r="B30" s="122"/>
      <c r="C30" s="40" t="s">
        <v>579</v>
      </c>
    </row>
    <row r="31" spans="1:3" x14ac:dyDescent="0.3">
      <c r="A31" s="122" t="s">
        <v>74</v>
      </c>
      <c r="B31" s="122"/>
      <c r="C31" s="40" t="s">
        <v>108</v>
      </c>
    </row>
    <row r="33" spans="1:2" x14ac:dyDescent="0.3">
      <c r="A33" s="2" t="s">
        <v>742</v>
      </c>
    </row>
    <row r="35" spans="1:2" x14ac:dyDescent="0.3">
      <c r="A35" s="87" t="s">
        <v>734</v>
      </c>
      <c r="B35" s="88" t="s">
        <v>735</v>
      </c>
    </row>
    <row r="36" spans="1:2" x14ac:dyDescent="0.3">
      <c r="A36" s="79" t="s">
        <v>736</v>
      </c>
      <c r="B36" s="79">
        <v>14.69</v>
      </c>
    </row>
    <row r="37" spans="1:2" x14ac:dyDescent="0.3">
      <c r="A37" s="79" t="s">
        <v>737</v>
      </c>
      <c r="B37" s="79">
        <v>14.99</v>
      </c>
    </row>
    <row r="38" spans="1:2" x14ac:dyDescent="0.3">
      <c r="A38" s="79" t="s">
        <v>738</v>
      </c>
      <c r="B38" s="79">
        <v>14.63</v>
      </c>
    </row>
    <row r="39" spans="1:2" x14ac:dyDescent="0.3">
      <c r="A39" s="79" t="s">
        <v>739</v>
      </c>
      <c r="B39" s="79" t="s">
        <v>740</v>
      </c>
    </row>
    <row r="40" spans="1:2" x14ac:dyDescent="0.3">
      <c r="A40" s="79" t="s">
        <v>741</v>
      </c>
      <c r="B40" s="79">
        <v>9.99</v>
      </c>
    </row>
  </sheetData>
  <mergeCells count="17">
    <mergeCell ref="A28:B28"/>
    <mergeCell ref="A29:B29"/>
    <mergeCell ref="A30:B30"/>
    <mergeCell ref="A31:B31"/>
    <mergeCell ref="A12:B12"/>
    <mergeCell ref="A13:B13"/>
    <mergeCell ref="A15:A23"/>
    <mergeCell ref="A25:B25"/>
    <mergeCell ref="A26:B26"/>
    <mergeCell ref="A27:B27"/>
    <mergeCell ref="A14:B14"/>
    <mergeCell ref="A11:B11"/>
    <mergeCell ref="A5:B5"/>
    <mergeCell ref="A6:B6"/>
    <mergeCell ref="A7:B7"/>
    <mergeCell ref="A8:B8"/>
    <mergeCell ref="A9:B9"/>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54"/>
  <sheetViews>
    <sheetView zoomScale="70" zoomScaleNormal="70" workbookViewId="0">
      <selection activeCell="A43" sqref="A43:B43"/>
    </sheetView>
  </sheetViews>
  <sheetFormatPr defaultColWidth="9.109375" defaultRowHeight="14.4" x14ac:dyDescent="0.3"/>
  <cols>
    <col min="1" max="1" width="11.109375" style="1" customWidth="1"/>
    <col min="2" max="2" width="47.5546875" style="1" customWidth="1"/>
    <col min="3" max="8" width="16.6640625" style="1" customWidth="1"/>
    <col min="9" max="9" width="10.44140625" style="1" customWidth="1"/>
    <col min="10" max="10" width="8.88671875" style="1" customWidth="1"/>
    <col min="11" max="16384" width="9.109375" style="1"/>
  </cols>
  <sheetData>
    <row r="1" spans="1:8" x14ac:dyDescent="0.3">
      <c r="A1" s="24" t="s">
        <v>15</v>
      </c>
      <c r="B1" s="25"/>
    </row>
    <row r="2" spans="1:8" ht="48" customHeight="1" x14ac:dyDescent="0.3">
      <c r="A2" s="21" t="s">
        <v>33</v>
      </c>
    </row>
    <row r="3" spans="1:8" ht="43.2" x14ac:dyDescent="0.3">
      <c r="C3" s="15" t="s">
        <v>28</v>
      </c>
      <c r="D3" s="15" t="s">
        <v>30</v>
      </c>
      <c r="E3" s="15" t="s">
        <v>29</v>
      </c>
      <c r="F3" s="14" t="s">
        <v>124</v>
      </c>
      <c r="G3" s="14" t="s">
        <v>31</v>
      </c>
      <c r="H3" s="14" t="s">
        <v>32</v>
      </c>
    </row>
    <row r="4" spans="1:8" x14ac:dyDescent="0.3">
      <c r="A4" s="139" t="s">
        <v>34</v>
      </c>
      <c r="B4" s="139"/>
      <c r="C4" s="136" t="s">
        <v>494</v>
      </c>
      <c r="D4" s="137"/>
      <c r="E4" s="138"/>
      <c r="F4" s="37">
        <v>4</v>
      </c>
      <c r="G4" s="148" t="s">
        <v>668</v>
      </c>
      <c r="H4" s="148" t="s">
        <v>669</v>
      </c>
    </row>
    <row r="5" spans="1:8" x14ac:dyDescent="0.3">
      <c r="A5" s="139" t="s">
        <v>495</v>
      </c>
      <c r="B5" s="139"/>
      <c r="C5" s="64">
        <v>2</v>
      </c>
      <c r="D5" s="77">
        <f>AVERAGE(8,7)</f>
        <v>7.5</v>
      </c>
      <c r="E5" s="76">
        <v>20.399999999999999</v>
      </c>
      <c r="F5" s="37">
        <v>2</v>
      </c>
      <c r="G5" s="148"/>
      <c r="H5" s="148"/>
    </row>
    <row r="6" spans="1:8" ht="28.8" x14ac:dyDescent="0.3">
      <c r="A6" s="139" t="s">
        <v>492</v>
      </c>
      <c r="B6" s="139"/>
      <c r="C6" s="41" t="s">
        <v>493</v>
      </c>
      <c r="D6" s="41" t="s">
        <v>493</v>
      </c>
      <c r="E6" s="41" t="s">
        <v>493</v>
      </c>
      <c r="F6" s="37">
        <v>1</v>
      </c>
      <c r="G6" s="148"/>
      <c r="H6" s="148"/>
    </row>
    <row r="7" spans="1:8" x14ac:dyDescent="0.3">
      <c r="A7" s="141" t="s">
        <v>3</v>
      </c>
      <c r="B7" s="20" t="s">
        <v>39</v>
      </c>
      <c r="C7" s="65" t="s">
        <v>108</v>
      </c>
      <c r="D7" s="65" t="s">
        <v>108</v>
      </c>
      <c r="E7" s="65" t="s">
        <v>108</v>
      </c>
      <c r="F7" s="37">
        <v>0</v>
      </c>
      <c r="G7" s="148"/>
      <c r="H7" s="148"/>
    </row>
    <row r="8" spans="1:8" x14ac:dyDescent="0.3">
      <c r="A8" s="141"/>
      <c r="B8" s="20" t="s">
        <v>40</v>
      </c>
      <c r="C8" s="65" t="s">
        <v>108</v>
      </c>
      <c r="D8" s="65" t="s">
        <v>108</v>
      </c>
      <c r="E8" s="65" t="s">
        <v>108</v>
      </c>
      <c r="F8" s="37">
        <v>0</v>
      </c>
      <c r="G8" s="148"/>
      <c r="H8" s="148"/>
    </row>
    <row r="9" spans="1:8" x14ac:dyDescent="0.3">
      <c r="A9" s="141"/>
      <c r="B9" s="20" t="s">
        <v>41</v>
      </c>
      <c r="C9" s="65" t="s">
        <v>108</v>
      </c>
      <c r="D9" s="65" t="s">
        <v>108</v>
      </c>
      <c r="E9" s="65" t="s">
        <v>108</v>
      </c>
      <c r="F9" s="37">
        <v>0</v>
      </c>
      <c r="G9" s="148"/>
      <c r="H9" s="148"/>
    </row>
    <row r="10" spans="1:8" x14ac:dyDescent="0.3">
      <c r="A10" s="141"/>
      <c r="B10" s="20" t="s">
        <v>42</v>
      </c>
      <c r="C10" s="65" t="s">
        <v>108</v>
      </c>
      <c r="D10" s="65" t="s">
        <v>108</v>
      </c>
      <c r="E10" s="65" t="s">
        <v>108</v>
      </c>
      <c r="F10" s="37">
        <v>0</v>
      </c>
      <c r="G10" s="148"/>
      <c r="H10" s="148"/>
    </row>
    <row r="11" spans="1:8" x14ac:dyDescent="0.3">
      <c r="A11" s="141"/>
      <c r="B11" s="20" t="s">
        <v>97</v>
      </c>
      <c r="C11" s="65" t="s">
        <v>489</v>
      </c>
      <c r="D11" s="65" t="s">
        <v>490</v>
      </c>
      <c r="E11" s="65" t="s">
        <v>491</v>
      </c>
      <c r="F11" s="37">
        <v>1</v>
      </c>
      <c r="G11" s="148"/>
      <c r="H11" s="148"/>
    </row>
    <row r="12" spans="1:8" x14ac:dyDescent="0.3">
      <c r="A12" s="141"/>
      <c r="B12" s="20" t="s">
        <v>98</v>
      </c>
      <c r="C12" s="65" t="s">
        <v>108</v>
      </c>
      <c r="D12" s="65" t="s">
        <v>108</v>
      </c>
      <c r="E12" s="65" t="s">
        <v>108</v>
      </c>
      <c r="F12" s="37">
        <v>0</v>
      </c>
      <c r="G12" s="148"/>
      <c r="H12" s="148"/>
    </row>
    <row r="13" spans="1:8" x14ac:dyDescent="0.3">
      <c r="A13" s="141"/>
      <c r="B13" s="20" t="s">
        <v>43</v>
      </c>
      <c r="C13" s="65" t="s">
        <v>108</v>
      </c>
      <c r="D13" s="65" t="s">
        <v>108</v>
      </c>
      <c r="E13" s="65" t="s">
        <v>108</v>
      </c>
      <c r="F13" s="37">
        <v>0</v>
      </c>
      <c r="G13" s="148"/>
      <c r="H13" s="148"/>
    </row>
    <row r="14" spans="1:8" x14ac:dyDescent="0.3">
      <c r="A14" s="141"/>
      <c r="B14" s="20" t="s">
        <v>44</v>
      </c>
      <c r="C14" s="65" t="s">
        <v>108</v>
      </c>
      <c r="D14" s="65" t="s">
        <v>108</v>
      </c>
      <c r="E14" s="65" t="s">
        <v>108</v>
      </c>
      <c r="F14" s="37">
        <v>0</v>
      </c>
      <c r="G14" s="148"/>
      <c r="H14" s="148"/>
    </row>
    <row r="15" spans="1:8" x14ac:dyDescent="0.3">
      <c r="A15" s="141"/>
      <c r="B15" s="20" t="s">
        <v>45</v>
      </c>
      <c r="C15" s="65" t="s">
        <v>108</v>
      </c>
      <c r="D15" s="65" t="s">
        <v>108</v>
      </c>
      <c r="E15" s="65" t="s">
        <v>108</v>
      </c>
      <c r="F15" s="37">
        <v>0</v>
      </c>
      <c r="G15" s="148"/>
      <c r="H15" s="148"/>
    </row>
    <row r="16" spans="1:8" x14ac:dyDescent="0.3">
      <c r="A16" s="122" t="s">
        <v>27</v>
      </c>
      <c r="B16" s="122"/>
      <c r="C16" s="156"/>
      <c r="D16" s="156"/>
      <c r="E16" s="156"/>
    </row>
    <row r="17" spans="1:12" ht="44.25" customHeight="1" x14ac:dyDescent="0.3">
      <c r="A17" s="21" t="s">
        <v>49</v>
      </c>
      <c r="C17" s="58">
        <v>32</v>
      </c>
      <c r="D17" s="58">
        <v>42</v>
      </c>
      <c r="E17" s="58">
        <v>10</v>
      </c>
      <c r="F17" s="58">
        <v>54</v>
      </c>
    </row>
    <row r="18" spans="1:12" x14ac:dyDescent="0.3">
      <c r="B18" s="13" t="s">
        <v>26</v>
      </c>
      <c r="C18" s="18">
        <v>1</v>
      </c>
      <c r="D18" s="18">
        <v>2</v>
      </c>
      <c r="E18" s="18">
        <v>3</v>
      </c>
      <c r="F18" s="18">
        <v>4</v>
      </c>
    </row>
    <row r="19" spans="1:12" x14ac:dyDescent="0.3">
      <c r="A19" s="139" t="s">
        <v>35</v>
      </c>
      <c r="B19" s="139"/>
      <c r="C19" s="37" t="s">
        <v>142</v>
      </c>
      <c r="D19" s="37" t="s">
        <v>142</v>
      </c>
      <c r="E19" s="37" t="s">
        <v>142</v>
      </c>
      <c r="F19" s="37" t="s">
        <v>108</v>
      </c>
    </row>
    <row r="20" spans="1:12" ht="86.4" x14ac:dyDescent="0.3">
      <c r="A20" s="139" t="s">
        <v>36</v>
      </c>
      <c r="B20" s="139"/>
      <c r="C20" s="43" t="s">
        <v>430</v>
      </c>
      <c r="D20" s="43" t="s">
        <v>548</v>
      </c>
      <c r="E20" s="43" t="s">
        <v>158</v>
      </c>
      <c r="F20" s="43" t="s">
        <v>643</v>
      </c>
    </row>
    <row r="21" spans="1:12" x14ac:dyDescent="0.3">
      <c r="A21" s="139" t="s">
        <v>37</v>
      </c>
      <c r="B21" s="139"/>
      <c r="C21" s="37" t="s">
        <v>108</v>
      </c>
      <c r="D21" s="37" t="s">
        <v>108</v>
      </c>
      <c r="E21" s="37" t="s">
        <v>143</v>
      </c>
      <c r="F21" s="37" t="s">
        <v>108</v>
      </c>
    </row>
    <row r="22" spans="1:12" x14ac:dyDescent="0.3">
      <c r="A22" s="140" t="s">
        <v>38</v>
      </c>
      <c r="B22" s="140"/>
      <c r="C22" s="37" t="s">
        <v>108</v>
      </c>
      <c r="D22" s="37" t="s">
        <v>108</v>
      </c>
      <c r="E22" s="37" t="s">
        <v>108</v>
      </c>
      <c r="F22" s="37" t="s">
        <v>108</v>
      </c>
    </row>
    <row r="23" spans="1:12" x14ac:dyDescent="0.3">
      <c r="A23" s="122" t="s">
        <v>27</v>
      </c>
      <c r="B23" s="122"/>
      <c r="C23" s="37">
        <v>3</v>
      </c>
      <c r="D23" s="37">
        <v>3</v>
      </c>
      <c r="E23" s="37">
        <v>4</v>
      </c>
      <c r="F23" s="37">
        <v>5</v>
      </c>
      <c r="K23" s="58"/>
      <c r="L23" s="36"/>
    </row>
    <row r="24" spans="1:12" x14ac:dyDescent="0.3">
      <c r="C24" s="16"/>
    </row>
    <row r="25" spans="1:12" x14ac:dyDescent="0.3">
      <c r="A25" s="122" t="s">
        <v>2</v>
      </c>
      <c r="B25" s="122"/>
      <c r="C25" s="41">
        <v>6000</v>
      </c>
      <c r="D25" s="37" t="s">
        <v>108</v>
      </c>
      <c r="E25" s="65" t="s">
        <v>108</v>
      </c>
      <c r="F25" s="70" t="s">
        <v>108</v>
      </c>
    </row>
    <row r="26" spans="1:12" ht="86.4" x14ac:dyDescent="0.3">
      <c r="A26" s="122" t="s">
        <v>13</v>
      </c>
      <c r="B26" s="122"/>
      <c r="C26" s="41" t="s">
        <v>479</v>
      </c>
      <c r="D26" s="37" t="s">
        <v>108</v>
      </c>
      <c r="E26" s="65" t="s">
        <v>108</v>
      </c>
      <c r="F26" s="41" t="s">
        <v>644</v>
      </c>
    </row>
    <row r="27" spans="1:12" ht="28.8" x14ac:dyDescent="0.3">
      <c r="A27" s="122" t="s">
        <v>1</v>
      </c>
      <c r="B27" s="122"/>
      <c r="C27" s="41" t="s">
        <v>431</v>
      </c>
      <c r="D27" s="65" t="s">
        <v>480</v>
      </c>
      <c r="E27" s="65" t="s">
        <v>101</v>
      </c>
      <c r="F27" s="70" t="s">
        <v>108</v>
      </c>
    </row>
    <row r="28" spans="1:12" ht="158.4" x14ac:dyDescent="0.3">
      <c r="A28" s="139" t="s">
        <v>197</v>
      </c>
      <c r="B28" s="139"/>
      <c r="C28" s="41" t="s">
        <v>485</v>
      </c>
      <c r="D28" s="37" t="s">
        <v>108</v>
      </c>
      <c r="E28" s="41" t="s">
        <v>646</v>
      </c>
      <c r="F28" s="41" t="s">
        <v>645</v>
      </c>
    </row>
    <row r="29" spans="1:12" ht="43.2" customHeight="1" x14ac:dyDescent="0.3">
      <c r="A29" s="133" t="s">
        <v>3</v>
      </c>
      <c r="B29" s="19" t="s">
        <v>39</v>
      </c>
      <c r="C29" s="123" t="s">
        <v>476</v>
      </c>
      <c r="D29" s="37" t="s">
        <v>108</v>
      </c>
      <c r="E29" s="37" t="s">
        <v>108</v>
      </c>
      <c r="F29" s="37" t="s">
        <v>108</v>
      </c>
    </row>
    <row r="30" spans="1:12" x14ac:dyDescent="0.3">
      <c r="A30" s="134"/>
      <c r="B30" s="19" t="s">
        <v>40</v>
      </c>
      <c r="C30" s="124"/>
      <c r="D30" s="37" t="s">
        <v>108</v>
      </c>
      <c r="E30" s="37" t="s">
        <v>108</v>
      </c>
      <c r="F30" s="37" t="s">
        <v>108</v>
      </c>
    </row>
    <row r="31" spans="1:12" x14ac:dyDescent="0.3">
      <c r="A31" s="134"/>
      <c r="B31" s="19" t="s">
        <v>41</v>
      </c>
      <c r="C31" s="124"/>
      <c r="D31" s="37" t="s">
        <v>108</v>
      </c>
      <c r="E31" s="37" t="s">
        <v>108</v>
      </c>
      <c r="F31" s="37" t="s">
        <v>108</v>
      </c>
      <c r="G31" s="68" t="s">
        <v>488</v>
      </c>
    </row>
    <row r="32" spans="1:12" x14ac:dyDescent="0.3">
      <c r="A32" s="134"/>
      <c r="B32" s="19" t="s">
        <v>42</v>
      </c>
      <c r="C32" s="124"/>
      <c r="D32" s="37" t="s">
        <v>108</v>
      </c>
      <c r="E32" s="37" t="s">
        <v>108</v>
      </c>
      <c r="F32" s="37" t="s">
        <v>108</v>
      </c>
    </row>
    <row r="33" spans="1:6" ht="28.8" x14ac:dyDescent="0.3">
      <c r="A33" s="134"/>
      <c r="B33" s="19" t="s">
        <v>97</v>
      </c>
      <c r="C33" s="124"/>
      <c r="D33" s="41" t="s">
        <v>481</v>
      </c>
      <c r="E33" s="37" t="s">
        <v>108</v>
      </c>
      <c r="F33" s="37" t="s">
        <v>108</v>
      </c>
    </row>
    <row r="34" spans="1:6" x14ac:dyDescent="0.3">
      <c r="A34" s="134"/>
      <c r="B34" s="19" t="s">
        <v>98</v>
      </c>
      <c r="C34" s="124"/>
      <c r="D34" s="37" t="s">
        <v>108</v>
      </c>
      <c r="E34" s="37" t="s">
        <v>108</v>
      </c>
      <c r="F34" s="37" t="s">
        <v>108</v>
      </c>
    </row>
    <row r="35" spans="1:6" x14ac:dyDescent="0.3">
      <c r="A35" s="134"/>
      <c r="B35" s="19" t="s">
        <v>43</v>
      </c>
      <c r="C35" s="124"/>
      <c r="D35" s="37" t="s">
        <v>108</v>
      </c>
      <c r="E35" s="37" t="s">
        <v>108</v>
      </c>
      <c r="F35" s="37" t="s">
        <v>108</v>
      </c>
    </row>
    <row r="36" spans="1:6" x14ac:dyDescent="0.3">
      <c r="A36" s="134"/>
      <c r="B36" s="19" t="s">
        <v>44</v>
      </c>
      <c r="C36" s="124"/>
      <c r="D36" s="37" t="s">
        <v>108</v>
      </c>
      <c r="E36" s="37" t="s">
        <v>108</v>
      </c>
      <c r="F36" s="37" t="s">
        <v>108</v>
      </c>
    </row>
    <row r="37" spans="1:6" x14ac:dyDescent="0.3">
      <c r="A37" s="135"/>
      <c r="B37" s="19" t="s">
        <v>45</v>
      </c>
      <c r="C37" s="125"/>
      <c r="D37" s="37" t="s">
        <v>108</v>
      </c>
      <c r="E37" s="37" t="s">
        <v>108</v>
      </c>
      <c r="F37" s="37" t="s">
        <v>108</v>
      </c>
    </row>
    <row r="38" spans="1:6" x14ac:dyDescent="0.3">
      <c r="C38" s="38"/>
      <c r="D38" s="38"/>
      <c r="E38" s="38"/>
      <c r="F38" s="38"/>
    </row>
    <row r="39" spans="1:6" x14ac:dyDescent="0.3">
      <c r="A39" s="122" t="s">
        <v>68</v>
      </c>
      <c r="B39" s="122"/>
      <c r="C39" s="40" t="s">
        <v>108</v>
      </c>
      <c r="D39" s="37" t="s">
        <v>108</v>
      </c>
      <c r="E39" s="40" t="s">
        <v>486</v>
      </c>
      <c r="F39" s="37" t="s">
        <v>108</v>
      </c>
    </row>
    <row r="40" spans="1:6" ht="57.6" x14ac:dyDescent="0.3">
      <c r="A40" s="122" t="s">
        <v>69</v>
      </c>
      <c r="B40" s="122"/>
      <c r="C40" s="40" t="s">
        <v>478</v>
      </c>
      <c r="D40" s="40" t="s">
        <v>108</v>
      </c>
      <c r="E40" s="40" t="s">
        <v>108</v>
      </c>
      <c r="F40" s="37" t="s">
        <v>108</v>
      </c>
    </row>
    <row r="41" spans="1:6" ht="172.8" x14ac:dyDescent="0.3">
      <c r="A41" s="122" t="s">
        <v>70</v>
      </c>
      <c r="B41" s="122"/>
      <c r="C41" s="40" t="s">
        <v>477</v>
      </c>
      <c r="D41" s="40" t="s">
        <v>482</v>
      </c>
      <c r="E41" s="40" t="s">
        <v>487</v>
      </c>
      <c r="F41" s="37" t="s">
        <v>108</v>
      </c>
    </row>
    <row r="42" spans="1:6" ht="43.2" x14ac:dyDescent="0.3">
      <c r="A42" s="122" t="s">
        <v>71</v>
      </c>
      <c r="B42" s="122"/>
      <c r="C42" s="40" t="s">
        <v>483</v>
      </c>
      <c r="D42" s="40" t="s">
        <v>484</v>
      </c>
      <c r="E42" s="40" t="s">
        <v>484</v>
      </c>
      <c r="F42" s="37" t="s">
        <v>108</v>
      </c>
    </row>
    <row r="43" spans="1:6" ht="15" customHeight="1" x14ac:dyDescent="0.3">
      <c r="A43" s="132" t="s">
        <v>803</v>
      </c>
      <c r="B43" s="122"/>
      <c r="C43" s="40" t="s">
        <v>108</v>
      </c>
      <c r="D43" s="40" t="s">
        <v>108</v>
      </c>
      <c r="E43" s="40" t="s">
        <v>108</v>
      </c>
      <c r="F43" s="37" t="s">
        <v>108</v>
      </c>
    </row>
    <row r="44" spans="1:6" x14ac:dyDescent="0.3">
      <c r="A44" s="122" t="s">
        <v>73</v>
      </c>
      <c r="B44" s="122"/>
      <c r="C44" s="40" t="s">
        <v>108</v>
      </c>
      <c r="D44" s="40" t="s">
        <v>108</v>
      </c>
      <c r="E44" s="40" t="s">
        <v>108</v>
      </c>
      <c r="F44" s="37" t="s">
        <v>108</v>
      </c>
    </row>
    <row r="45" spans="1:6" x14ac:dyDescent="0.3">
      <c r="A45" s="122" t="s">
        <v>74</v>
      </c>
      <c r="B45" s="122"/>
      <c r="C45" s="40" t="s">
        <v>108</v>
      </c>
      <c r="D45" s="40" t="s">
        <v>108</v>
      </c>
      <c r="E45" s="40" t="s">
        <v>108</v>
      </c>
      <c r="F45" s="37" t="s">
        <v>108</v>
      </c>
    </row>
    <row r="47" spans="1:6" x14ac:dyDescent="0.3">
      <c r="A47" s="2" t="s">
        <v>742</v>
      </c>
    </row>
    <row r="49" spans="1:6" x14ac:dyDescent="0.3">
      <c r="A49" s="151" t="s">
        <v>734</v>
      </c>
      <c r="B49" s="153" t="s">
        <v>782</v>
      </c>
      <c r="C49" s="154"/>
      <c r="D49" s="154"/>
      <c r="E49" s="154"/>
      <c r="F49" s="155"/>
    </row>
    <row r="50" spans="1:6" x14ac:dyDescent="0.3">
      <c r="A50" s="152"/>
      <c r="B50" s="88" t="s">
        <v>770</v>
      </c>
      <c r="C50" s="88" t="s">
        <v>772</v>
      </c>
      <c r="D50" s="88" t="s">
        <v>767</v>
      </c>
      <c r="E50" s="88" t="s">
        <v>768</v>
      </c>
      <c r="F50" s="88" t="s">
        <v>769</v>
      </c>
    </row>
    <row r="51" spans="1:6" x14ac:dyDescent="0.3">
      <c r="A51" s="79" t="s">
        <v>736</v>
      </c>
      <c r="B51" s="79">
        <v>6</v>
      </c>
      <c r="C51" s="79">
        <v>8</v>
      </c>
      <c r="D51" s="79" t="s">
        <v>773</v>
      </c>
      <c r="E51" s="79" t="s">
        <v>773</v>
      </c>
      <c r="F51" s="79" t="s">
        <v>774</v>
      </c>
    </row>
    <row r="52" spans="1:6" x14ac:dyDescent="0.3">
      <c r="A52" s="79" t="s">
        <v>737</v>
      </c>
      <c r="B52" s="79" t="s">
        <v>771</v>
      </c>
      <c r="C52" s="79">
        <v>7</v>
      </c>
      <c r="D52" s="79" t="s">
        <v>774</v>
      </c>
      <c r="E52" s="79" t="s">
        <v>774</v>
      </c>
      <c r="F52" s="79" t="s">
        <v>779</v>
      </c>
    </row>
    <row r="53" spans="1:6" ht="28.8" x14ac:dyDescent="0.3">
      <c r="A53" s="79" t="s">
        <v>738</v>
      </c>
      <c r="B53" s="77">
        <v>3.5</v>
      </c>
      <c r="C53" s="79" t="s">
        <v>108</v>
      </c>
      <c r="D53" s="79" t="s">
        <v>775</v>
      </c>
      <c r="E53" s="79" t="s">
        <v>777</v>
      </c>
      <c r="F53" s="79" t="s">
        <v>781</v>
      </c>
    </row>
    <row r="54" spans="1:6" x14ac:dyDescent="0.3">
      <c r="A54" s="79" t="s">
        <v>739</v>
      </c>
      <c r="B54" s="79">
        <v>6</v>
      </c>
      <c r="C54" s="79" t="s">
        <v>771</v>
      </c>
      <c r="D54" s="79" t="s">
        <v>776</v>
      </c>
      <c r="E54" s="79" t="s">
        <v>778</v>
      </c>
      <c r="F54" s="79" t="s">
        <v>780</v>
      </c>
    </row>
  </sheetData>
  <mergeCells count="29">
    <mergeCell ref="A43:B43"/>
    <mergeCell ref="A44:B44"/>
    <mergeCell ref="A28:B28"/>
    <mergeCell ref="A22:B22"/>
    <mergeCell ref="A16:B16"/>
    <mergeCell ref="A23:B23"/>
    <mergeCell ref="H4:H15"/>
    <mergeCell ref="C4:E4"/>
    <mergeCell ref="G4:G15"/>
    <mergeCell ref="A7:A15"/>
    <mergeCell ref="A4:B4"/>
    <mergeCell ref="A5:B5"/>
    <mergeCell ref="A6:B6"/>
    <mergeCell ref="A49:A50"/>
    <mergeCell ref="B49:F49"/>
    <mergeCell ref="C16:E16"/>
    <mergeCell ref="A19:B19"/>
    <mergeCell ref="A20:B20"/>
    <mergeCell ref="A21:B21"/>
    <mergeCell ref="C29:C37"/>
    <mergeCell ref="A45:B45"/>
    <mergeCell ref="A25:B25"/>
    <mergeCell ref="A26:B26"/>
    <mergeCell ref="A27:B27"/>
    <mergeCell ref="A29:A37"/>
    <mergeCell ref="A39:B39"/>
    <mergeCell ref="A40:B40"/>
    <mergeCell ref="A41:B41"/>
    <mergeCell ref="A42:B42"/>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0"/>
  <sheetViews>
    <sheetView workbookViewId="0">
      <selection activeCell="A12" sqref="A12"/>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6" x14ac:dyDescent="0.3">
      <c r="A1" s="24" t="s">
        <v>93</v>
      </c>
      <c r="B1" s="25"/>
    </row>
    <row r="2" spans="1:6" ht="48" customHeight="1" x14ac:dyDescent="0.3">
      <c r="A2" s="21"/>
    </row>
    <row r="4" spans="1:6" x14ac:dyDescent="0.3">
      <c r="A4" s="2" t="s">
        <v>742</v>
      </c>
    </row>
    <row r="6" spans="1:6" ht="28.8" x14ac:dyDescent="0.3">
      <c r="A6" s="87" t="s">
        <v>734</v>
      </c>
      <c r="B6" s="87" t="s">
        <v>785</v>
      </c>
      <c r="C6" s="73" t="s">
        <v>786</v>
      </c>
      <c r="D6" s="73" t="s">
        <v>787</v>
      </c>
      <c r="E6" s="73" t="s">
        <v>788</v>
      </c>
      <c r="F6" s="73" t="s">
        <v>789</v>
      </c>
    </row>
    <row r="7" spans="1:6" x14ac:dyDescent="0.3">
      <c r="A7" s="79" t="s">
        <v>736</v>
      </c>
      <c r="B7" s="79">
        <v>8</v>
      </c>
      <c r="C7" s="79" t="s">
        <v>790</v>
      </c>
      <c r="D7" s="79">
        <v>19.489999999999998</v>
      </c>
      <c r="E7" s="79" t="s">
        <v>108</v>
      </c>
      <c r="F7" s="79" t="s">
        <v>796</v>
      </c>
    </row>
    <row r="8" spans="1:6" ht="28.8" x14ac:dyDescent="0.3">
      <c r="A8" s="79" t="s">
        <v>737</v>
      </c>
      <c r="B8" s="79">
        <v>9</v>
      </c>
      <c r="C8" s="79" t="s">
        <v>793</v>
      </c>
      <c r="D8" s="79" t="s">
        <v>794</v>
      </c>
      <c r="E8" s="79">
        <v>8.49</v>
      </c>
      <c r="F8" s="79" t="s">
        <v>108</v>
      </c>
    </row>
    <row r="9" spans="1:6" x14ac:dyDescent="0.3">
      <c r="A9" s="79" t="s">
        <v>738</v>
      </c>
      <c r="B9" s="79">
        <v>7</v>
      </c>
      <c r="C9" s="79" t="s">
        <v>791</v>
      </c>
      <c r="D9" s="79" t="s">
        <v>795</v>
      </c>
      <c r="E9" s="79">
        <v>4.99</v>
      </c>
      <c r="F9" s="79" t="s">
        <v>108</v>
      </c>
    </row>
    <row r="10" spans="1:6" ht="28.8" x14ac:dyDescent="0.3">
      <c r="A10" s="79" t="s">
        <v>739</v>
      </c>
      <c r="B10" s="79">
        <v>7</v>
      </c>
      <c r="C10" s="79" t="s">
        <v>792</v>
      </c>
      <c r="D10" s="79" t="s">
        <v>783</v>
      </c>
      <c r="E10" s="79">
        <v>13</v>
      </c>
      <c r="F10" s="79" t="s">
        <v>784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activeCell="N28" sqref="N28"/>
    </sheetView>
  </sheetViews>
  <sheetFormatPr defaultColWidth="9.109375" defaultRowHeight="14.4" x14ac:dyDescent="0.3"/>
  <cols>
    <col min="1" max="1" width="12.5546875" style="1" customWidth="1"/>
    <col min="2" max="2" width="37.88671875" style="1" customWidth="1"/>
    <col min="3" max="16384" width="9.109375" style="1"/>
  </cols>
  <sheetData>
    <row r="1" spans="1:14" x14ac:dyDescent="0.3">
      <c r="A1" s="21" t="s">
        <v>95</v>
      </c>
    </row>
    <row r="2" spans="1:14" ht="15" thickBot="1" x14ac:dyDescent="0.35">
      <c r="A2" s="21"/>
    </row>
    <row r="3" spans="1:14" x14ac:dyDescent="0.3">
      <c r="A3" s="2" t="s">
        <v>182</v>
      </c>
      <c r="C3" s="116" t="s">
        <v>186</v>
      </c>
      <c r="D3" s="117"/>
      <c r="E3" s="118"/>
      <c r="F3" s="116" t="s">
        <v>187</v>
      </c>
      <c r="G3" s="117"/>
      <c r="H3" s="118"/>
      <c r="I3" s="116" t="s">
        <v>188</v>
      </c>
      <c r="J3" s="117"/>
      <c r="K3" s="118"/>
      <c r="L3" s="116" t="s">
        <v>189</v>
      </c>
      <c r="M3" s="117"/>
      <c r="N3" s="118"/>
    </row>
    <row r="4" spans="1:14" ht="15" thickBot="1" x14ac:dyDescent="0.35">
      <c r="C4" s="27" t="s">
        <v>28</v>
      </c>
      <c r="D4" s="28" t="s">
        <v>30</v>
      </c>
      <c r="E4" s="29" t="s">
        <v>29</v>
      </c>
      <c r="F4" s="27" t="s">
        <v>28</v>
      </c>
      <c r="G4" s="28" t="s">
        <v>30</v>
      </c>
      <c r="H4" s="29" t="s">
        <v>29</v>
      </c>
      <c r="I4" s="27" t="s">
        <v>28</v>
      </c>
      <c r="J4" s="28" t="s">
        <v>30</v>
      </c>
      <c r="K4" s="29" t="s">
        <v>29</v>
      </c>
      <c r="L4" s="27" t="s">
        <v>28</v>
      </c>
      <c r="M4" s="28" t="s">
        <v>30</v>
      </c>
      <c r="N4" s="29" t="s">
        <v>29</v>
      </c>
    </row>
    <row r="5" spans="1:14" ht="15" thickBot="1" x14ac:dyDescent="0.35">
      <c r="A5" s="111" t="s">
        <v>96</v>
      </c>
      <c r="B5" s="112"/>
      <c r="C5" s="49">
        <f>IWI!C5</f>
        <v>55</v>
      </c>
      <c r="D5" s="45">
        <f>IWI!D5</f>
        <v>94.642857142857139</v>
      </c>
      <c r="E5" s="50">
        <f>IWI!E5</f>
        <v>140</v>
      </c>
      <c r="F5" s="49">
        <f>EWI!C5</f>
        <v>55</v>
      </c>
      <c r="G5" s="45">
        <f>EWI!D5</f>
        <v>116</v>
      </c>
      <c r="H5" s="50">
        <f>EWI!E5</f>
        <v>180</v>
      </c>
      <c r="I5" s="49">
        <f>CWI!C5</f>
        <v>5</v>
      </c>
      <c r="J5" s="45">
        <f>CWI!D5</f>
        <v>5.5</v>
      </c>
      <c r="K5" s="50">
        <f>CWI!E5</f>
        <v>6</v>
      </c>
      <c r="L5" s="49">
        <f>PWI!C5</f>
        <v>25</v>
      </c>
      <c r="M5" s="45">
        <f>PWI!D5</f>
        <v>27.5</v>
      </c>
      <c r="N5" s="50">
        <f>PWI!E5</f>
        <v>30</v>
      </c>
    </row>
    <row r="6" spans="1:14" x14ac:dyDescent="0.3">
      <c r="A6" s="113" t="s">
        <v>3</v>
      </c>
      <c r="B6" s="30" t="s">
        <v>39</v>
      </c>
      <c r="C6" s="49">
        <f>IWI!C6</f>
        <v>2500</v>
      </c>
      <c r="D6" s="45">
        <f>IWI!D6</f>
        <v>2800</v>
      </c>
      <c r="E6" s="50">
        <f>IWI!E6</f>
        <v>3000</v>
      </c>
      <c r="F6" s="49">
        <f>EWI!C6</f>
        <v>4300</v>
      </c>
      <c r="G6" s="45">
        <f>EWI!D6</f>
        <v>5300</v>
      </c>
      <c r="H6" s="50">
        <f>EWI!E6</f>
        <v>6100</v>
      </c>
      <c r="I6" s="49">
        <f>CWI!C6</f>
        <v>300</v>
      </c>
      <c r="J6" s="45">
        <f>CWI!D6</f>
        <v>380</v>
      </c>
      <c r="K6" s="50">
        <f>CWI!E6</f>
        <v>630</v>
      </c>
      <c r="L6" s="49">
        <f>PWI!C6</f>
        <v>350</v>
      </c>
      <c r="M6" s="45">
        <f>PWI!D6</f>
        <v>350</v>
      </c>
      <c r="N6" s="50">
        <f>PWI!E6</f>
        <v>350</v>
      </c>
    </row>
    <row r="7" spans="1:14" x14ac:dyDescent="0.3">
      <c r="A7" s="114"/>
      <c r="B7" s="31" t="s">
        <v>40</v>
      </c>
      <c r="C7" s="49">
        <f>IWI!C7</f>
        <v>3000</v>
      </c>
      <c r="D7" s="45">
        <f>IWI!D7</f>
        <v>3500</v>
      </c>
      <c r="E7" s="50">
        <f>IWI!E7</f>
        <v>4000</v>
      </c>
      <c r="F7" s="49">
        <f>EWI!C7</f>
        <v>6700</v>
      </c>
      <c r="G7" s="45">
        <f>EWI!D7</f>
        <v>6700</v>
      </c>
      <c r="H7" s="50">
        <f>EWI!E7</f>
        <v>6700</v>
      </c>
      <c r="I7" s="49">
        <f>CWI!C7</f>
        <v>350</v>
      </c>
      <c r="J7" s="45">
        <f>CWI!D7</f>
        <v>430</v>
      </c>
      <c r="K7" s="50">
        <f>CWI!E7</f>
        <v>640</v>
      </c>
      <c r="L7" s="49">
        <f>PWI!C7</f>
        <v>350</v>
      </c>
      <c r="M7" s="45">
        <f>PWI!D7</f>
        <v>350</v>
      </c>
      <c r="N7" s="50">
        <f>PWI!E7</f>
        <v>350</v>
      </c>
    </row>
    <row r="8" spans="1:14" x14ac:dyDescent="0.3">
      <c r="A8" s="114"/>
      <c r="B8" s="31" t="s">
        <v>41</v>
      </c>
      <c r="C8" s="49">
        <f>IWI!C8</f>
        <v>3000</v>
      </c>
      <c r="D8" s="45">
        <f>IWI!D8</f>
        <v>3700</v>
      </c>
      <c r="E8" s="50">
        <f>IWI!E8</f>
        <v>5000</v>
      </c>
      <c r="F8" s="49">
        <f>EWI!C8</f>
        <v>5500</v>
      </c>
      <c r="G8" s="45">
        <f>EWI!D8</f>
        <v>6800</v>
      </c>
      <c r="H8" s="50">
        <f>EWI!E8</f>
        <v>8000</v>
      </c>
      <c r="I8" s="49">
        <f>CWI!C8</f>
        <v>350</v>
      </c>
      <c r="J8" s="45">
        <f>CWI!D8</f>
        <v>460</v>
      </c>
      <c r="K8" s="50">
        <f>CWI!E8</f>
        <v>660</v>
      </c>
      <c r="L8" s="49">
        <f>PWI!C8</f>
        <v>350</v>
      </c>
      <c r="M8" s="45">
        <f>PWI!D8</f>
        <v>350</v>
      </c>
      <c r="N8" s="50">
        <f>PWI!E8</f>
        <v>350</v>
      </c>
    </row>
    <row r="9" spans="1:14" x14ac:dyDescent="0.3">
      <c r="A9" s="114"/>
      <c r="B9" s="31" t="s">
        <v>42</v>
      </c>
      <c r="C9" s="49">
        <f>IWI!C9</f>
        <v>4000</v>
      </c>
      <c r="D9" s="45">
        <f>IWI!D9</f>
        <v>4000</v>
      </c>
      <c r="E9" s="50">
        <f>IWI!E9</f>
        <v>4000</v>
      </c>
      <c r="F9" s="49">
        <f>EWI!C9</f>
        <v>7500</v>
      </c>
      <c r="G9" s="45">
        <f>EWI!D9</f>
        <v>7500</v>
      </c>
      <c r="H9" s="50">
        <f>EWI!E9</f>
        <v>7500</v>
      </c>
      <c r="I9" s="49">
        <f>CWI!C9</f>
        <v>450</v>
      </c>
      <c r="J9" s="45">
        <f>CWI!D9</f>
        <v>504.94499999999999</v>
      </c>
      <c r="K9" s="50">
        <f>CWI!E9</f>
        <v>670</v>
      </c>
      <c r="L9" s="49">
        <f>PWI!C9</f>
        <v>350</v>
      </c>
      <c r="M9" s="45">
        <f>PWI!D9</f>
        <v>350</v>
      </c>
      <c r="N9" s="50">
        <f>PWI!E9</f>
        <v>350</v>
      </c>
    </row>
    <row r="10" spans="1:14" x14ac:dyDescent="0.3">
      <c r="A10" s="114"/>
      <c r="B10" s="31" t="s">
        <v>97</v>
      </c>
      <c r="C10" s="49">
        <f>IWI!C10</f>
        <v>5000</v>
      </c>
      <c r="D10" s="45">
        <f>IWI!D10</f>
        <v>6800</v>
      </c>
      <c r="E10" s="50">
        <f>IWI!E10</f>
        <v>10400</v>
      </c>
      <c r="F10" s="49">
        <f>EWI!C10</f>
        <v>7000</v>
      </c>
      <c r="G10" s="45">
        <f>EWI!D10</f>
        <v>7800</v>
      </c>
      <c r="H10" s="50">
        <f>EWI!E10</f>
        <v>9000</v>
      </c>
      <c r="I10" s="49">
        <f>CWI!C10</f>
        <v>480</v>
      </c>
      <c r="J10" s="45">
        <f>CWI!D10</f>
        <v>528.98</v>
      </c>
      <c r="K10" s="50">
        <f>CWI!E10</f>
        <v>660</v>
      </c>
      <c r="L10" s="49">
        <f>PWI!C10</f>
        <v>350</v>
      </c>
      <c r="M10" s="45">
        <f>PWI!D10</f>
        <v>350</v>
      </c>
      <c r="N10" s="50">
        <f>PWI!E10</f>
        <v>350</v>
      </c>
    </row>
    <row r="11" spans="1:14" ht="15" thickBot="1" x14ac:dyDescent="0.35">
      <c r="A11" s="114"/>
      <c r="B11" s="31" t="s">
        <v>98</v>
      </c>
      <c r="C11" s="49">
        <f>IWI!C11</f>
        <v>6000</v>
      </c>
      <c r="D11" s="45">
        <f>IWI!D11</f>
        <v>7000</v>
      </c>
      <c r="E11" s="50">
        <f>IWI!E11</f>
        <v>8000</v>
      </c>
      <c r="F11" s="49">
        <f>EWI!C11</f>
        <v>7800</v>
      </c>
      <c r="G11" s="45">
        <f>EWI!D11</f>
        <v>8400</v>
      </c>
      <c r="H11" s="50">
        <f>EWI!E11</f>
        <v>10000</v>
      </c>
      <c r="I11" s="49">
        <f>CWI!C11</f>
        <v>600</v>
      </c>
      <c r="J11" s="45">
        <f>CWI!D11</f>
        <v>660</v>
      </c>
      <c r="K11" s="50">
        <f>CWI!E11</f>
        <v>690</v>
      </c>
      <c r="L11" s="51">
        <f>PWI!C11</f>
        <v>350</v>
      </c>
      <c r="M11" s="52">
        <f>PWI!D11</f>
        <v>350</v>
      </c>
      <c r="N11" s="53">
        <f>PWI!E11</f>
        <v>350</v>
      </c>
    </row>
    <row r="12" spans="1:14" x14ac:dyDescent="0.3">
      <c r="A12" s="114"/>
      <c r="B12" s="31" t="s">
        <v>43</v>
      </c>
      <c r="C12" s="49">
        <f>IWI!C12</f>
        <v>6600</v>
      </c>
      <c r="D12" s="45">
        <f>IWI!D12</f>
        <v>7200</v>
      </c>
      <c r="E12" s="50">
        <f>IWI!E12</f>
        <v>8000</v>
      </c>
      <c r="F12" s="49">
        <f>EWI!C12</f>
        <v>8900</v>
      </c>
      <c r="G12" s="45">
        <f>EWI!D12</f>
        <v>10200</v>
      </c>
      <c r="H12" s="50">
        <f>EWI!E12</f>
        <v>12000</v>
      </c>
      <c r="I12" s="49">
        <f>CWI!C12</f>
        <v>550</v>
      </c>
      <c r="J12" s="48">
        <f>CWI!D12</f>
        <v>680</v>
      </c>
      <c r="K12" s="50">
        <f>CWI!E12</f>
        <v>800</v>
      </c>
    </row>
    <row r="13" spans="1:14" x14ac:dyDescent="0.3">
      <c r="A13" s="114"/>
      <c r="B13" s="31" t="s">
        <v>44</v>
      </c>
      <c r="C13" s="49">
        <f>IWI!C13</f>
        <v>7000</v>
      </c>
      <c r="D13" s="45">
        <f>IWI!D13</f>
        <v>9400</v>
      </c>
      <c r="E13" s="50">
        <f>IWI!E13</f>
        <v>11600</v>
      </c>
      <c r="F13" s="49">
        <f>EWI!C13</f>
        <v>10000</v>
      </c>
      <c r="G13" s="45">
        <f>EWI!D13</f>
        <v>11500</v>
      </c>
      <c r="H13" s="50">
        <f>EWI!E13</f>
        <v>20000</v>
      </c>
      <c r="I13" s="49">
        <f>CWI!C13</f>
        <v>750</v>
      </c>
      <c r="J13" s="48">
        <f>CWI!D13</f>
        <v>950</v>
      </c>
      <c r="K13" s="50">
        <f>CWI!E13</f>
        <v>1200</v>
      </c>
    </row>
    <row r="14" spans="1:14" ht="15" thickBot="1" x14ac:dyDescent="0.35">
      <c r="A14" s="115"/>
      <c r="B14" s="32" t="s">
        <v>45</v>
      </c>
      <c r="C14" s="51">
        <f>IWI!C14</f>
        <v>5600</v>
      </c>
      <c r="D14" s="52">
        <f>IWI!D14</f>
        <v>6300</v>
      </c>
      <c r="E14" s="53">
        <f>IWI!E14</f>
        <v>7000</v>
      </c>
      <c r="F14" s="51">
        <f>EWI!C14</f>
        <v>5000</v>
      </c>
      <c r="G14" s="52">
        <f>EWI!D14</f>
        <v>9800</v>
      </c>
      <c r="H14" s="53">
        <f>EWI!E14</f>
        <v>11100</v>
      </c>
      <c r="I14" s="51">
        <f>CWI!C14</f>
        <v>500</v>
      </c>
      <c r="J14" s="52">
        <f>CWI!D14</f>
        <v>650</v>
      </c>
      <c r="K14" s="53">
        <f>CWI!E14</f>
        <v>750</v>
      </c>
    </row>
    <row r="16" spans="1:14" ht="15" thickBot="1" x14ac:dyDescent="0.35"/>
    <row r="17" spans="1:11" x14ac:dyDescent="0.3">
      <c r="A17" s="2" t="s">
        <v>183</v>
      </c>
      <c r="C17" s="116" t="s">
        <v>190</v>
      </c>
      <c r="D17" s="117"/>
      <c r="E17" s="118"/>
      <c r="F17" s="116" t="s">
        <v>191</v>
      </c>
      <c r="G17" s="117"/>
      <c r="H17" s="118"/>
      <c r="I17" s="116" t="s">
        <v>192</v>
      </c>
      <c r="J17" s="117"/>
      <c r="K17" s="118"/>
    </row>
    <row r="18" spans="1:11" ht="15" thickBot="1" x14ac:dyDescent="0.35">
      <c r="C18" s="27" t="s">
        <v>28</v>
      </c>
      <c r="D18" s="28" t="s">
        <v>30</v>
      </c>
      <c r="E18" s="29" t="s">
        <v>29</v>
      </c>
      <c r="F18" s="27" t="s">
        <v>28</v>
      </c>
      <c r="G18" s="28" t="s">
        <v>30</v>
      </c>
      <c r="H18" s="29" t="s">
        <v>29</v>
      </c>
      <c r="I18" s="27" t="s">
        <v>28</v>
      </c>
      <c r="J18" s="28" t="s">
        <v>30</v>
      </c>
      <c r="K18" s="29" t="s">
        <v>29</v>
      </c>
    </row>
    <row r="19" spans="1:11" ht="15" thickBot="1" x14ac:dyDescent="0.35">
      <c r="A19" s="111" t="s">
        <v>96</v>
      </c>
      <c r="B19" s="112"/>
      <c r="C19" s="49">
        <f>'R1'!C5</f>
        <v>10</v>
      </c>
      <c r="D19" s="45">
        <f>'R1'!D5</f>
        <v>10</v>
      </c>
      <c r="E19" s="50" t="str">
        <f>'R1'!E5</f>
        <v>£20 (based on sheep's wool)</v>
      </c>
      <c r="F19" s="49">
        <f>'R2'!C5</f>
        <v>20</v>
      </c>
      <c r="G19" s="45">
        <f>'R2'!D5</f>
        <v>40</v>
      </c>
      <c r="H19" s="50">
        <f>'R2'!E5</f>
        <v>40</v>
      </c>
      <c r="I19" s="51">
        <f>'R3'!C5</f>
        <v>50</v>
      </c>
      <c r="J19" s="52">
        <f>'R3'!D5</f>
        <v>80</v>
      </c>
      <c r="K19" s="53">
        <f>'R3'!E5</f>
        <v>100</v>
      </c>
    </row>
    <row r="20" spans="1:11" x14ac:dyDescent="0.3">
      <c r="A20" s="113" t="s">
        <v>3</v>
      </c>
      <c r="B20" s="30" t="s">
        <v>39</v>
      </c>
      <c r="C20" s="49">
        <f>'R1'!C6</f>
        <v>180</v>
      </c>
      <c r="D20" s="45">
        <f>'R1'!D6</f>
        <v>320</v>
      </c>
      <c r="E20" s="50">
        <f>'R1'!E6</f>
        <v>580</v>
      </c>
      <c r="F20" s="49" t="str">
        <f>'R2'!C6</f>
        <v>-</v>
      </c>
      <c r="G20" s="45" t="str">
        <f>'R2'!D6</f>
        <v>-</v>
      </c>
      <c r="H20" s="50" t="str">
        <f>'R2'!E6</f>
        <v>-</v>
      </c>
    </row>
    <row r="21" spans="1:11" x14ac:dyDescent="0.3">
      <c r="A21" s="114"/>
      <c r="B21" s="31" t="s">
        <v>40</v>
      </c>
      <c r="C21" s="49">
        <f>'R1'!C7</f>
        <v>235</v>
      </c>
      <c r="D21" s="45">
        <f>'R1'!D7</f>
        <v>430</v>
      </c>
      <c r="E21" s="50">
        <f>'R1'!E7</f>
        <v>590</v>
      </c>
      <c r="F21" s="49" t="str">
        <f>'R2'!C7</f>
        <v>-</v>
      </c>
      <c r="G21" s="45" t="str">
        <f>'R2'!D7</f>
        <v>-</v>
      </c>
      <c r="H21" s="50" t="str">
        <f>'R2'!E7</f>
        <v>-</v>
      </c>
    </row>
    <row r="22" spans="1:11" x14ac:dyDescent="0.3">
      <c r="A22" s="114"/>
      <c r="B22" s="31" t="s">
        <v>41</v>
      </c>
      <c r="C22" s="49">
        <f>'R1'!C8</f>
        <v>180</v>
      </c>
      <c r="D22" s="45">
        <f>'R1'!D8</f>
        <v>350</v>
      </c>
      <c r="E22" s="50">
        <f>'R1'!E8</f>
        <v>600</v>
      </c>
      <c r="F22" s="49">
        <f>'R2'!C8</f>
        <v>1300</v>
      </c>
      <c r="G22" s="45">
        <f>'R2'!D8</f>
        <v>1600</v>
      </c>
      <c r="H22" s="50">
        <f>'R2'!E8</f>
        <v>2000</v>
      </c>
    </row>
    <row r="23" spans="1:11" x14ac:dyDescent="0.3">
      <c r="A23" s="114"/>
      <c r="B23" s="31" t="s">
        <v>42</v>
      </c>
      <c r="C23" s="49">
        <f>'R1'!C9</f>
        <v>200</v>
      </c>
      <c r="D23" s="45">
        <f>'R1'!D9</f>
        <v>420</v>
      </c>
      <c r="E23" s="50">
        <f>'R1'!E9</f>
        <v>645</v>
      </c>
      <c r="F23" s="49">
        <f>'R2'!C9</f>
        <v>1900</v>
      </c>
      <c r="G23" s="45">
        <f>'R2'!D9</f>
        <v>1900</v>
      </c>
      <c r="H23" s="50">
        <f>'R2'!E9</f>
        <v>1900</v>
      </c>
    </row>
    <row r="24" spans="1:11" x14ac:dyDescent="0.3">
      <c r="A24" s="114"/>
      <c r="B24" s="31" t="s">
        <v>97</v>
      </c>
      <c r="C24" s="49">
        <f>'R1'!C10</f>
        <v>180</v>
      </c>
      <c r="D24" s="45">
        <f>'R1'!D10</f>
        <v>360</v>
      </c>
      <c r="E24" s="50">
        <f>'R1'!E10</f>
        <v>610</v>
      </c>
      <c r="F24" s="49">
        <f>'R2'!C10</f>
        <v>1900</v>
      </c>
      <c r="G24" s="45">
        <f>'R2'!D10</f>
        <v>2200</v>
      </c>
      <c r="H24" s="50">
        <f>'R2'!E10</f>
        <v>2500</v>
      </c>
    </row>
    <row r="25" spans="1:11" x14ac:dyDescent="0.3">
      <c r="A25" s="114"/>
      <c r="B25" s="31" t="s">
        <v>98</v>
      </c>
      <c r="C25" s="49">
        <f>'R1'!C11</f>
        <v>210</v>
      </c>
      <c r="D25" s="45">
        <f>'R1'!D11</f>
        <v>470</v>
      </c>
      <c r="E25" s="50">
        <f>'R1'!E11</f>
        <v>650</v>
      </c>
      <c r="F25" s="49">
        <f>'R2'!C11</f>
        <v>2300</v>
      </c>
      <c r="G25" s="45">
        <f>'R2'!D11</f>
        <v>2300</v>
      </c>
      <c r="H25" s="50">
        <f>'R2'!E11</f>
        <v>2300</v>
      </c>
    </row>
    <row r="26" spans="1:11" x14ac:dyDescent="0.3">
      <c r="A26" s="114"/>
      <c r="B26" s="31" t="s">
        <v>43</v>
      </c>
      <c r="C26" s="49">
        <f>'R1'!C12</f>
        <v>220</v>
      </c>
      <c r="D26" s="45">
        <f>'R1'!D12</f>
        <v>510</v>
      </c>
      <c r="E26" s="50">
        <f>'R1'!E12</f>
        <v>750</v>
      </c>
      <c r="F26" s="49">
        <f>'R2'!C12</f>
        <v>2300</v>
      </c>
      <c r="G26" s="45">
        <f>'R2'!D12</f>
        <v>2300</v>
      </c>
      <c r="H26" s="50">
        <f>'R2'!E12</f>
        <v>2300</v>
      </c>
    </row>
    <row r="27" spans="1:11" x14ac:dyDescent="0.3">
      <c r="A27" s="114"/>
      <c r="B27" s="31" t="s">
        <v>44</v>
      </c>
      <c r="C27" s="49">
        <f>'R1'!C13</f>
        <v>300</v>
      </c>
      <c r="D27" s="45">
        <f>'R1'!D13</f>
        <v>600</v>
      </c>
      <c r="E27" s="50">
        <f>'R1'!E13</f>
        <v>955</v>
      </c>
      <c r="F27" s="49">
        <f>'R2'!C13</f>
        <v>3000</v>
      </c>
      <c r="G27" s="45">
        <f>'R2'!D13</f>
        <v>3100</v>
      </c>
      <c r="H27" s="50">
        <f>'R2'!E13</f>
        <v>3500</v>
      </c>
    </row>
    <row r="28" spans="1:11" ht="15" thickBot="1" x14ac:dyDescent="0.35">
      <c r="A28" s="115"/>
      <c r="B28" s="32" t="s">
        <v>45</v>
      </c>
      <c r="C28" s="51">
        <f>'R1'!C14</f>
        <v>430</v>
      </c>
      <c r="D28" s="52">
        <f>'R1'!D14</f>
        <v>620</v>
      </c>
      <c r="E28" s="53">
        <f>'R1'!E14</f>
        <v>900</v>
      </c>
      <c r="F28" s="51">
        <f>'R2'!C14</f>
        <v>2500</v>
      </c>
      <c r="G28" s="52">
        <f>'R2'!D14</f>
        <v>2800</v>
      </c>
      <c r="H28" s="53">
        <f>'R2'!E14</f>
        <v>3000</v>
      </c>
    </row>
    <row r="30" spans="1:11" ht="15" thickBot="1" x14ac:dyDescent="0.35"/>
    <row r="31" spans="1:11" x14ac:dyDescent="0.3">
      <c r="A31" s="2" t="s">
        <v>184</v>
      </c>
      <c r="C31" s="116" t="s">
        <v>193</v>
      </c>
      <c r="D31" s="117"/>
      <c r="E31" s="118"/>
    </row>
    <row r="32" spans="1:11" ht="15" thickBot="1" x14ac:dyDescent="0.35">
      <c r="C32" s="27" t="s">
        <v>28</v>
      </c>
      <c r="D32" s="28" t="s">
        <v>30</v>
      </c>
      <c r="E32" s="29" t="s">
        <v>29</v>
      </c>
    </row>
    <row r="33" spans="1:8" ht="15" thickBot="1" x14ac:dyDescent="0.35">
      <c r="A33" s="111" t="s">
        <v>96</v>
      </c>
      <c r="B33" s="112"/>
      <c r="C33" s="49" t="str">
        <f>'F1'!C5</f>
        <v>£1/m2 for material, plus around £500-£600 per floor labour costs.</v>
      </c>
      <c r="D33" s="45" t="str">
        <f>'F1'!D5</f>
        <v>-</v>
      </c>
      <c r="E33" s="50">
        <f>'F1'!E5</f>
        <v>95</v>
      </c>
    </row>
    <row r="34" spans="1:8" x14ac:dyDescent="0.3">
      <c r="A34" s="113" t="s">
        <v>3</v>
      </c>
      <c r="B34" s="30" t="s">
        <v>39</v>
      </c>
      <c r="C34" s="49" t="str">
        <f>'F1'!C6</f>
        <v>-</v>
      </c>
      <c r="D34" s="45" t="str">
        <f>'F1'!D6</f>
        <v>-</v>
      </c>
      <c r="E34" s="50" t="str">
        <f>'F1'!E6</f>
        <v>-</v>
      </c>
    </row>
    <row r="35" spans="1:8" x14ac:dyDescent="0.3">
      <c r="A35" s="114"/>
      <c r="B35" s="31" t="s">
        <v>40</v>
      </c>
      <c r="C35" s="49" t="str">
        <f>'F1'!C7</f>
        <v>-</v>
      </c>
      <c r="D35" s="45" t="str">
        <f>'F1'!D7</f>
        <v>-</v>
      </c>
      <c r="E35" s="50" t="str">
        <f>'F1'!E7</f>
        <v>-</v>
      </c>
    </row>
    <row r="36" spans="1:8" x14ac:dyDescent="0.3">
      <c r="A36" s="114"/>
      <c r="B36" s="31" t="s">
        <v>41</v>
      </c>
      <c r="C36" s="49" t="str">
        <f>'F1'!C8</f>
        <v>-</v>
      </c>
      <c r="D36" s="45" t="str">
        <f>'F1'!D8</f>
        <v>-</v>
      </c>
      <c r="E36" s="50" t="str">
        <f>'F1'!E8</f>
        <v>-</v>
      </c>
    </row>
    <row r="37" spans="1:8" x14ac:dyDescent="0.3">
      <c r="A37" s="114"/>
      <c r="B37" s="31" t="s">
        <v>42</v>
      </c>
      <c r="C37" s="49" t="str">
        <f>'F1'!C9</f>
        <v>-</v>
      </c>
      <c r="D37" s="45">
        <f>'F1'!D9</f>
        <v>550</v>
      </c>
      <c r="E37" s="50" t="str">
        <f>'F1'!E9</f>
        <v>-</v>
      </c>
    </row>
    <row r="38" spans="1:8" x14ac:dyDescent="0.3">
      <c r="A38" s="114"/>
      <c r="B38" s="31" t="s">
        <v>97</v>
      </c>
      <c r="C38" s="49" t="str">
        <f>'F1'!C10</f>
        <v>-</v>
      </c>
      <c r="D38" s="45" t="str">
        <f>'F1'!D10</f>
        <v>-</v>
      </c>
      <c r="E38" s="50" t="str">
        <f>'F1'!E10</f>
        <v>-</v>
      </c>
    </row>
    <row r="39" spans="1:8" x14ac:dyDescent="0.3">
      <c r="A39" s="114"/>
      <c r="B39" s="31" t="s">
        <v>98</v>
      </c>
      <c r="C39" s="49" t="str">
        <f>'F1'!C11</f>
        <v>-</v>
      </c>
      <c r="D39" s="45">
        <f>'F1'!D11</f>
        <v>750</v>
      </c>
      <c r="E39" s="50" t="str">
        <f>'F1'!E11</f>
        <v>-</v>
      </c>
    </row>
    <row r="40" spans="1:8" x14ac:dyDescent="0.3">
      <c r="A40" s="114"/>
      <c r="B40" s="31" t="s">
        <v>43</v>
      </c>
      <c r="C40" s="49" t="str">
        <f>'F1'!C12</f>
        <v>-</v>
      </c>
      <c r="D40" s="45" t="str">
        <f>'F1'!D12</f>
        <v>-</v>
      </c>
      <c r="E40" s="50" t="str">
        <f>'F1'!E12</f>
        <v>-</v>
      </c>
    </row>
    <row r="41" spans="1:8" x14ac:dyDescent="0.3">
      <c r="A41" s="114"/>
      <c r="B41" s="31" t="s">
        <v>44</v>
      </c>
      <c r="C41" s="49" t="str">
        <f>'F1'!C13</f>
        <v>-</v>
      </c>
      <c r="D41" s="45">
        <f>'F1'!D13</f>
        <v>900</v>
      </c>
      <c r="E41" s="50" t="str">
        <f>'F1'!E13</f>
        <v>-</v>
      </c>
    </row>
    <row r="42" spans="1:8" ht="15" thickBot="1" x14ac:dyDescent="0.35">
      <c r="A42" s="115"/>
      <c r="B42" s="32" t="s">
        <v>45</v>
      </c>
      <c r="C42" s="51" t="str">
        <f>'F1'!C14</f>
        <v>-</v>
      </c>
      <c r="D42" s="52" t="str">
        <f>'F1'!D14</f>
        <v>-</v>
      </c>
      <c r="E42" s="53" t="str">
        <f>'F1'!E14</f>
        <v>-</v>
      </c>
    </row>
    <row r="44" spans="1:8" ht="15" thickBot="1" x14ac:dyDescent="0.35"/>
    <row r="45" spans="1:8" x14ac:dyDescent="0.3">
      <c r="A45" s="2" t="s">
        <v>185</v>
      </c>
      <c r="C45" s="116" t="s">
        <v>194</v>
      </c>
      <c r="D45" s="117"/>
      <c r="E45" s="118"/>
      <c r="F45" s="116" t="s">
        <v>195</v>
      </c>
      <c r="G45" s="117"/>
      <c r="H45" s="118"/>
    </row>
    <row r="46" spans="1:8" ht="15" thickBot="1" x14ac:dyDescent="0.35">
      <c r="C46" s="27" t="s">
        <v>28</v>
      </c>
      <c r="D46" s="28" t="s">
        <v>30</v>
      </c>
      <c r="E46" s="29" t="s">
        <v>29</v>
      </c>
      <c r="F46" s="27" t="s">
        <v>28</v>
      </c>
      <c r="G46" s="28" t="s">
        <v>30</v>
      </c>
      <c r="H46" s="29" t="s">
        <v>29</v>
      </c>
    </row>
    <row r="47" spans="1:8" ht="15" thickBot="1" x14ac:dyDescent="0.35">
      <c r="A47" s="111" t="s">
        <v>96</v>
      </c>
      <c r="B47" s="112"/>
      <c r="C47" s="49">
        <f>DG!C5</f>
        <v>300</v>
      </c>
      <c r="D47" s="45">
        <f>DG!D5</f>
        <v>530</v>
      </c>
      <c r="E47" s="50">
        <f>DG!E5</f>
        <v>1000</v>
      </c>
      <c r="F47" s="49" t="str">
        <f>SG!C5</f>
        <v>£110 (DIY)</v>
      </c>
      <c r="G47" s="45" t="str">
        <f>SG!D5</f>
        <v>£110 (DIY)</v>
      </c>
      <c r="H47" s="50" t="str">
        <f>SG!E5</f>
        <v>£110 (DIY)</v>
      </c>
    </row>
    <row r="48" spans="1:8" x14ac:dyDescent="0.3">
      <c r="A48" s="113" t="s">
        <v>3</v>
      </c>
      <c r="B48" s="30" t="s">
        <v>39</v>
      </c>
      <c r="C48" s="49">
        <f>DG!C6</f>
        <v>1200</v>
      </c>
      <c r="D48" s="45">
        <f>DG!D6</f>
        <v>2400</v>
      </c>
      <c r="E48" s="50">
        <f>DG!E6</f>
        <v>3000</v>
      </c>
      <c r="F48" s="49">
        <f>SG!C6</f>
        <v>1200</v>
      </c>
      <c r="G48" s="45">
        <f>SG!D6</f>
        <v>1700</v>
      </c>
      <c r="H48" s="50">
        <f>SG!E6</f>
        <v>2500</v>
      </c>
    </row>
    <row r="49" spans="1:11" x14ac:dyDescent="0.3">
      <c r="A49" s="114"/>
      <c r="B49" s="31" t="s">
        <v>40</v>
      </c>
      <c r="C49" s="49">
        <f>DG!C7</f>
        <v>3000</v>
      </c>
      <c r="D49" s="45">
        <f>DG!D7</f>
        <v>3600</v>
      </c>
      <c r="E49" s="50">
        <f>DG!E7</f>
        <v>4200</v>
      </c>
      <c r="F49" s="49">
        <f>SG!C7</f>
        <v>5300</v>
      </c>
      <c r="G49" s="45">
        <f>SG!D7</f>
        <v>5700</v>
      </c>
      <c r="H49" s="50">
        <f>SG!E7</f>
        <v>6000</v>
      </c>
    </row>
    <row r="50" spans="1:11" x14ac:dyDescent="0.3">
      <c r="A50" s="114"/>
      <c r="B50" s="31" t="s">
        <v>41</v>
      </c>
      <c r="C50" s="49">
        <f>DG!C8</f>
        <v>3200</v>
      </c>
      <c r="D50" s="45">
        <f>DG!D8</f>
        <v>3900</v>
      </c>
      <c r="E50" s="50">
        <f>DG!E8</f>
        <v>5000</v>
      </c>
      <c r="F50" s="49">
        <f>SG!C8</f>
        <v>3500</v>
      </c>
      <c r="G50" s="45">
        <f>SG!D8</f>
        <v>3800</v>
      </c>
      <c r="H50" s="50">
        <f>SG!E8</f>
        <v>4000</v>
      </c>
    </row>
    <row r="51" spans="1:11" x14ac:dyDescent="0.3">
      <c r="A51" s="114"/>
      <c r="B51" s="31" t="s">
        <v>42</v>
      </c>
      <c r="C51" s="49">
        <f>DG!C9</f>
        <v>4800</v>
      </c>
      <c r="D51" s="45">
        <f>DG!D9</f>
        <v>5000</v>
      </c>
      <c r="E51" s="50">
        <f>DG!E9</f>
        <v>5500</v>
      </c>
      <c r="F51" s="49">
        <f>SG!C9</f>
        <v>5300</v>
      </c>
      <c r="G51" s="45">
        <f>SG!D9</f>
        <v>5700</v>
      </c>
      <c r="H51" s="50">
        <f>SG!E9</f>
        <v>6000</v>
      </c>
    </row>
    <row r="52" spans="1:11" x14ac:dyDescent="0.3">
      <c r="A52" s="114"/>
      <c r="B52" s="31" t="s">
        <v>97</v>
      </c>
      <c r="C52" s="49">
        <f>DG!C10</f>
        <v>4800</v>
      </c>
      <c r="D52" s="45">
        <f>DG!D10</f>
        <v>5500</v>
      </c>
      <c r="E52" s="50">
        <f>DG!E10</f>
        <v>7000</v>
      </c>
      <c r="F52" s="49">
        <f>SG!C10</f>
        <v>1800</v>
      </c>
      <c r="G52" s="45">
        <f>SG!D10</f>
        <v>2800</v>
      </c>
      <c r="H52" s="50">
        <f>SG!E10</f>
        <v>4000</v>
      </c>
    </row>
    <row r="53" spans="1:11" x14ac:dyDescent="0.3">
      <c r="A53" s="114"/>
      <c r="B53" s="31" t="s">
        <v>98</v>
      </c>
      <c r="C53" s="49">
        <f>DG!C11</f>
        <v>6000</v>
      </c>
      <c r="D53" s="45">
        <f>DG!D11</f>
        <v>6400</v>
      </c>
      <c r="E53" s="50">
        <f>DG!E11</f>
        <v>8000</v>
      </c>
      <c r="F53" s="49">
        <f>SG!C11</f>
        <v>5300</v>
      </c>
      <c r="G53" s="45">
        <f>SG!D11</f>
        <v>5700</v>
      </c>
      <c r="H53" s="50">
        <f>SG!E11</f>
        <v>6000</v>
      </c>
    </row>
    <row r="54" spans="1:11" x14ac:dyDescent="0.3">
      <c r="A54" s="114"/>
      <c r="B54" s="31" t="s">
        <v>43</v>
      </c>
      <c r="C54" s="49">
        <f>DG!C12</f>
        <v>5000</v>
      </c>
      <c r="D54" s="45">
        <f>DG!D12</f>
        <v>5900</v>
      </c>
      <c r="E54" s="50">
        <f>DG!E12</f>
        <v>7000</v>
      </c>
      <c r="F54" s="49">
        <f>SG!C12</f>
        <v>3000</v>
      </c>
      <c r="G54" s="45">
        <f>SG!D12</f>
        <v>4500</v>
      </c>
      <c r="H54" s="50">
        <f>SG!E12</f>
        <v>6000</v>
      </c>
    </row>
    <row r="55" spans="1:11" x14ac:dyDescent="0.3">
      <c r="A55" s="114"/>
      <c r="B55" s="31" t="s">
        <v>44</v>
      </c>
      <c r="C55" s="49">
        <f>DG!C13</f>
        <v>7000</v>
      </c>
      <c r="D55" s="45">
        <f>DG!D13</f>
        <v>8300</v>
      </c>
      <c r="E55" s="50">
        <f>DG!E13</f>
        <v>10000</v>
      </c>
      <c r="F55" s="49">
        <f>SG!C13</f>
        <v>2600</v>
      </c>
      <c r="G55" s="45">
        <f>SG!D13</f>
        <v>5900</v>
      </c>
      <c r="H55" s="50">
        <f>SG!E13</f>
        <v>10000</v>
      </c>
    </row>
    <row r="56" spans="1:11" ht="15" thickBot="1" x14ac:dyDescent="0.35">
      <c r="A56" s="115"/>
      <c r="B56" s="32" t="s">
        <v>45</v>
      </c>
      <c r="C56" s="51">
        <f>DG!C14</f>
        <v>5800</v>
      </c>
      <c r="D56" s="52">
        <f>DG!D14</f>
        <v>6600</v>
      </c>
      <c r="E56" s="53">
        <f>DG!E14</f>
        <v>8000</v>
      </c>
      <c r="F56" s="51">
        <f>SG!C14</f>
        <v>3500</v>
      </c>
      <c r="G56" s="52">
        <f>SG!D14</f>
        <v>3800</v>
      </c>
      <c r="H56" s="53">
        <f>SG!E14</f>
        <v>4000</v>
      </c>
    </row>
    <row r="58" spans="1:11" ht="15" thickBot="1" x14ac:dyDescent="0.35"/>
    <row r="59" spans="1:11" x14ac:dyDescent="0.3">
      <c r="A59" s="2" t="s">
        <v>196</v>
      </c>
      <c r="C59" s="116" t="s">
        <v>16</v>
      </c>
      <c r="D59" s="117"/>
      <c r="E59" s="118"/>
      <c r="F59" s="116" t="s">
        <v>17</v>
      </c>
      <c r="G59" s="117"/>
      <c r="H59" s="118"/>
      <c r="I59" s="116" t="s">
        <v>83</v>
      </c>
      <c r="J59" s="117"/>
      <c r="K59" s="118"/>
    </row>
    <row r="60" spans="1:11" ht="15" thickBot="1" x14ac:dyDescent="0.35">
      <c r="C60" s="27" t="s">
        <v>28</v>
      </c>
      <c r="D60" s="28" t="s">
        <v>30</v>
      </c>
      <c r="E60" s="29" t="s">
        <v>29</v>
      </c>
      <c r="F60" s="27" t="s">
        <v>28</v>
      </c>
      <c r="G60" s="28" t="s">
        <v>30</v>
      </c>
      <c r="H60" s="29" t="s">
        <v>29</v>
      </c>
      <c r="I60" s="27" t="s">
        <v>28</v>
      </c>
      <c r="J60" s="28" t="s">
        <v>30</v>
      </c>
      <c r="K60" s="29" t="s">
        <v>29</v>
      </c>
    </row>
    <row r="61" spans="1:11" ht="15" thickBot="1" x14ac:dyDescent="0.35">
      <c r="A61" s="111"/>
      <c r="B61" s="112"/>
      <c r="C61" s="82"/>
      <c r="D61" s="83"/>
      <c r="E61" s="84"/>
      <c r="F61" s="82"/>
      <c r="G61" s="83"/>
      <c r="H61" s="84"/>
      <c r="I61" s="82"/>
      <c r="J61" s="83"/>
      <c r="K61" s="84"/>
    </row>
    <row r="62" spans="1:11" x14ac:dyDescent="0.3">
      <c r="A62" s="113" t="s">
        <v>3</v>
      </c>
      <c r="B62" s="30" t="s">
        <v>39</v>
      </c>
      <c r="C62" s="49">
        <f>GAS!C5</f>
        <v>1200</v>
      </c>
      <c r="D62" s="45">
        <f>GAS!D5</f>
        <v>1700</v>
      </c>
      <c r="E62" s="50">
        <f>GAS!E5</f>
        <v>2000</v>
      </c>
      <c r="F62" s="49">
        <f>OIL!C5</f>
        <v>2500</v>
      </c>
      <c r="G62" s="45">
        <f>OIL!D5</f>
        <v>2700</v>
      </c>
      <c r="H62" s="50">
        <f>OIL!E5</f>
        <v>3000</v>
      </c>
      <c r="I62" s="49">
        <f>CH!C5</f>
        <v>1900</v>
      </c>
      <c r="J62" s="45">
        <f>CH!D5</f>
        <v>2700</v>
      </c>
      <c r="K62" s="50">
        <f>CH!E5</f>
        <v>3800</v>
      </c>
    </row>
    <row r="63" spans="1:11" x14ac:dyDescent="0.3">
      <c r="A63" s="114"/>
      <c r="B63" s="31" t="s">
        <v>40</v>
      </c>
      <c r="C63" s="49">
        <f>GAS!C6</f>
        <v>1300</v>
      </c>
      <c r="D63" s="45">
        <f>GAS!D6</f>
        <v>1800</v>
      </c>
      <c r="E63" s="50">
        <f>GAS!E6</f>
        <v>2500</v>
      </c>
      <c r="F63" s="49">
        <f>OIL!C6</f>
        <v>2500</v>
      </c>
      <c r="G63" s="45">
        <f>OIL!D6</f>
        <v>2500</v>
      </c>
      <c r="H63" s="50">
        <f>OIL!E6</f>
        <v>2500</v>
      </c>
      <c r="I63" s="49">
        <f>CH!C6</f>
        <v>2200.2777777777778</v>
      </c>
      <c r="J63" s="45">
        <f>CH!D6</f>
        <v>3300</v>
      </c>
      <c r="K63" s="50">
        <f>CH!E6</f>
        <v>4200</v>
      </c>
    </row>
    <row r="64" spans="1:11" x14ac:dyDescent="0.3">
      <c r="A64" s="114"/>
      <c r="B64" s="31" t="s">
        <v>41</v>
      </c>
      <c r="C64" s="49">
        <f>GAS!C7</f>
        <v>1400</v>
      </c>
      <c r="D64" s="45">
        <f>GAS!D7</f>
        <v>2200</v>
      </c>
      <c r="E64" s="50">
        <f>GAS!E7</f>
        <v>3000</v>
      </c>
      <c r="F64" s="49">
        <f>OIL!C7</f>
        <v>2500</v>
      </c>
      <c r="G64" s="45">
        <f>OIL!D7</f>
        <v>2800</v>
      </c>
      <c r="H64" s="50">
        <f>OIL!E7</f>
        <v>3000</v>
      </c>
      <c r="I64" s="49">
        <f>CH!C7</f>
        <v>2100</v>
      </c>
      <c r="J64" s="45">
        <f>CH!D7</f>
        <v>3400</v>
      </c>
      <c r="K64" s="50">
        <f>CH!E7</f>
        <v>4500</v>
      </c>
    </row>
    <row r="65" spans="1:11" x14ac:dyDescent="0.3">
      <c r="A65" s="114"/>
      <c r="B65" s="31" t="s">
        <v>42</v>
      </c>
      <c r="C65" s="49">
        <f>GAS!C8</f>
        <v>1600</v>
      </c>
      <c r="D65" s="45">
        <f>GAS!D8</f>
        <v>2400</v>
      </c>
      <c r="E65" s="50">
        <f>GAS!E8</f>
        <v>3500</v>
      </c>
      <c r="F65" s="49">
        <f>OIL!C8</f>
        <v>2600</v>
      </c>
      <c r="G65" s="45">
        <f>OIL!D8</f>
        <v>2600</v>
      </c>
      <c r="H65" s="50">
        <f>OIL!E8</f>
        <v>2600</v>
      </c>
      <c r="I65" s="49">
        <f>CH!C8</f>
        <v>2300</v>
      </c>
      <c r="J65" s="45">
        <f>CH!D8</f>
        <v>3800</v>
      </c>
      <c r="K65" s="50">
        <f>CH!E8</f>
        <v>5000</v>
      </c>
    </row>
    <row r="66" spans="1:11" x14ac:dyDescent="0.3">
      <c r="A66" s="114"/>
      <c r="B66" s="31" t="s">
        <v>97</v>
      </c>
      <c r="C66" s="49">
        <f>GAS!C9</f>
        <v>1600</v>
      </c>
      <c r="D66" s="45">
        <f>GAS!D9</f>
        <v>2300</v>
      </c>
      <c r="E66" s="50">
        <f>GAS!E9</f>
        <v>4000</v>
      </c>
      <c r="F66" s="49">
        <f>OIL!C9</f>
        <v>2500</v>
      </c>
      <c r="G66" s="45">
        <f>OIL!D9</f>
        <v>3500</v>
      </c>
      <c r="H66" s="50">
        <f>OIL!E9</f>
        <v>5000</v>
      </c>
      <c r="I66" s="49">
        <f>CH!C9</f>
        <v>2100</v>
      </c>
      <c r="J66" s="45">
        <f>CH!D9</f>
        <v>3800</v>
      </c>
      <c r="K66" s="50">
        <f>CH!E9</f>
        <v>5500</v>
      </c>
    </row>
    <row r="67" spans="1:11" x14ac:dyDescent="0.3">
      <c r="A67" s="114"/>
      <c r="B67" s="31" t="s">
        <v>98</v>
      </c>
      <c r="C67" s="49">
        <f>GAS!C10</f>
        <v>1700</v>
      </c>
      <c r="D67" s="45">
        <f>GAS!D10</f>
        <v>2800</v>
      </c>
      <c r="E67" s="50">
        <f>GAS!E10</f>
        <v>5000</v>
      </c>
      <c r="F67" s="49">
        <f>OIL!C10</f>
        <v>2600</v>
      </c>
      <c r="G67" s="45">
        <f>OIL!D10</f>
        <v>2800</v>
      </c>
      <c r="H67" s="50">
        <f>OIL!E10</f>
        <v>3100</v>
      </c>
      <c r="I67" s="49">
        <f>CH!C10</f>
        <v>2300</v>
      </c>
      <c r="J67" s="45">
        <f>CH!D10</f>
        <v>4200</v>
      </c>
      <c r="K67" s="50">
        <f>CH!E10</f>
        <v>6000</v>
      </c>
    </row>
    <row r="68" spans="1:11" x14ac:dyDescent="0.3">
      <c r="A68" s="114"/>
      <c r="B68" s="31" t="s">
        <v>43</v>
      </c>
      <c r="C68" s="49">
        <f>GAS!C11</f>
        <v>1700</v>
      </c>
      <c r="D68" s="45">
        <f>GAS!D11</f>
        <v>3200</v>
      </c>
      <c r="E68" s="50">
        <f>GAS!E11</f>
        <v>6000</v>
      </c>
      <c r="F68" s="49">
        <f>OIL!C11</f>
        <v>2600</v>
      </c>
      <c r="G68" s="45">
        <f>OIL!D11</f>
        <v>3300</v>
      </c>
      <c r="H68" s="50">
        <f>OIL!E11</f>
        <v>4000</v>
      </c>
      <c r="I68" s="49">
        <f>CH!C11</f>
        <v>2300</v>
      </c>
      <c r="J68" s="45">
        <f>CH!D11</f>
        <v>4400</v>
      </c>
      <c r="K68" s="50">
        <f>CH!E11</f>
        <v>6500</v>
      </c>
    </row>
    <row r="69" spans="1:11" x14ac:dyDescent="0.3">
      <c r="A69" s="114"/>
      <c r="B69" s="31" t="s">
        <v>44</v>
      </c>
      <c r="C69" s="49">
        <f>GAS!C12</f>
        <v>1700</v>
      </c>
      <c r="D69" s="45">
        <f>GAS!D12</f>
        <v>4300</v>
      </c>
      <c r="E69" s="50">
        <f>GAS!E12</f>
        <v>7000</v>
      </c>
      <c r="F69" s="49">
        <f>OIL!C12</f>
        <v>2600</v>
      </c>
      <c r="G69" s="45">
        <f>OIL!D12</f>
        <v>4300</v>
      </c>
      <c r="H69" s="50">
        <f>OIL!E12</f>
        <v>7000</v>
      </c>
      <c r="I69" s="49">
        <f>CH!C12</f>
        <v>2500</v>
      </c>
      <c r="J69" s="45">
        <f>CH!D12</f>
        <v>5800</v>
      </c>
      <c r="K69" s="50">
        <f>CH!E12</f>
        <v>8000</v>
      </c>
    </row>
    <row r="70" spans="1:11" ht="15" thickBot="1" x14ac:dyDescent="0.35">
      <c r="A70" s="115"/>
      <c r="B70" s="32" t="s">
        <v>45</v>
      </c>
      <c r="C70" s="51">
        <f>GAS!C13</f>
        <v>1700</v>
      </c>
      <c r="D70" s="52">
        <f>GAS!D13</f>
        <v>3200</v>
      </c>
      <c r="E70" s="53">
        <f>GAS!E13</f>
        <v>6000</v>
      </c>
      <c r="F70" s="51">
        <f>OIL!C13</f>
        <v>2600</v>
      </c>
      <c r="G70" s="52">
        <f>OIL!D13</f>
        <v>3000</v>
      </c>
      <c r="H70" s="53">
        <f>OIL!E13</f>
        <v>3500</v>
      </c>
      <c r="I70" s="51">
        <f>CH!C13</f>
        <v>2400</v>
      </c>
      <c r="J70" s="52">
        <f>CH!D13</f>
        <v>4600</v>
      </c>
      <c r="K70" s="53">
        <f>CH!E13</f>
        <v>7000</v>
      </c>
    </row>
    <row r="72" spans="1:11" ht="15" thickBot="1" x14ac:dyDescent="0.35"/>
    <row r="73" spans="1:11" x14ac:dyDescent="0.3">
      <c r="A73" s="2" t="s">
        <v>15</v>
      </c>
      <c r="C73" s="116" t="s">
        <v>15</v>
      </c>
      <c r="D73" s="117"/>
      <c r="E73" s="118"/>
    </row>
    <row r="74" spans="1:11" ht="15" thickBot="1" x14ac:dyDescent="0.35">
      <c r="C74" s="27" t="s">
        <v>28</v>
      </c>
      <c r="D74" s="28" t="s">
        <v>30</v>
      </c>
      <c r="E74" s="29" t="s">
        <v>29</v>
      </c>
    </row>
    <row r="75" spans="1:11" ht="15" thickBot="1" x14ac:dyDescent="0.35">
      <c r="A75" s="111" t="s">
        <v>495</v>
      </c>
      <c r="B75" s="112"/>
      <c r="C75" s="80">
        <f>LED!C5</f>
        <v>2</v>
      </c>
      <c r="D75" s="64">
        <f>LED!D5</f>
        <v>7.5</v>
      </c>
      <c r="E75" s="81">
        <f>LED!E5</f>
        <v>20.399999999999999</v>
      </c>
    </row>
    <row r="76" spans="1:11" ht="29.4" thickBot="1" x14ac:dyDescent="0.35">
      <c r="A76" s="102"/>
      <c r="B76" s="32" t="s">
        <v>97</v>
      </c>
      <c r="C76" s="99" t="str">
        <f>LED!C11</f>
        <v>£200 bulbs only</v>
      </c>
      <c r="D76" s="100" t="str">
        <f>LED!D11</f>
        <v>£250 bulbs only</v>
      </c>
      <c r="E76" s="101" t="str">
        <f>LED!E11</f>
        <v>£300 bulbs only</v>
      </c>
    </row>
  </sheetData>
  <mergeCells count="25">
    <mergeCell ref="I3:K3"/>
    <mergeCell ref="L3:N3"/>
    <mergeCell ref="A5:B5"/>
    <mergeCell ref="A6:A14"/>
    <mergeCell ref="C3:E3"/>
    <mergeCell ref="F3:H3"/>
    <mergeCell ref="A19:B19"/>
    <mergeCell ref="A20:A28"/>
    <mergeCell ref="C17:E17"/>
    <mergeCell ref="F17:H17"/>
    <mergeCell ref="I17:K17"/>
    <mergeCell ref="I59:K59"/>
    <mergeCell ref="C31:E31"/>
    <mergeCell ref="A33:B33"/>
    <mergeCell ref="A34:A42"/>
    <mergeCell ref="C45:E45"/>
    <mergeCell ref="A61:B61"/>
    <mergeCell ref="A62:A70"/>
    <mergeCell ref="C73:E73"/>
    <mergeCell ref="A75:B75"/>
    <mergeCell ref="F45:H45"/>
    <mergeCell ref="A47:B47"/>
    <mergeCell ref="A48:A56"/>
    <mergeCell ref="C59:E59"/>
    <mergeCell ref="F59:H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44"/>
  <sheetViews>
    <sheetView zoomScale="55" zoomScaleNormal="55" workbookViewId="0">
      <pane xSplit="2" topLeftCell="C1" activePane="topRight" state="frozen"/>
      <selection activeCell="I16" sqref="I16"/>
      <selection pane="topRight" activeCell="G30" sqref="G30"/>
    </sheetView>
  </sheetViews>
  <sheetFormatPr defaultColWidth="9.109375" defaultRowHeight="14.4" x14ac:dyDescent="0.3"/>
  <cols>
    <col min="1" max="1" width="11.109375" style="1" customWidth="1"/>
    <col min="2" max="2" width="45.33203125" style="1" customWidth="1"/>
    <col min="3" max="12" width="16.44140625" style="1" customWidth="1"/>
    <col min="13" max="13" width="59.109375" style="1" bestFit="1" customWidth="1"/>
    <col min="14" max="14" width="46.88671875" style="1" customWidth="1"/>
    <col min="15" max="16384" width="9.109375" style="1"/>
  </cols>
  <sheetData>
    <row r="1" spans="1:12" x14ac:dyDescent="0.3">
      <c r="A1" s="24" t="s">
        <v>67</v>
      </c>
      <c r="B1" s="25"/>
    </row>
    <row r="2" spans="1:12" ht="48" customHeight="1" x14ac:dyDescent="0.3">
      <c r="A2" s="21" t="s">
        <v>33</v>
      </c>
    </row>
    <row r="3" spans="1:12" ht="43.2" x14ac:dyDescent="0.3">
      <c r="C3" s="14" t="s">
        <v>28</v>
      </c>
      <c r="D3" s="14" t="s">
        <v>30</v>
      </c>
      <c r="E3" s="14" t="s">
        <v>29</v>
      </c>
      <c r="F3" s="14" t="s">
        <v>124</v>
      </c>
      <c r="G3" s="14" t="s">
        <v>31</v>
      </c>
      <c r="H3" s="14" t="s">
        <v>32</v>
      </c>
    </row>
    <row r="4" spans="1:12" ht="44.25" customHeight="1" x14ac:dyDescent="0.3">
      <c r="A4" s="119" t="s">
        <v>34</v>
      </c>
      <c r="B4" s="119"/>
      <c r="C4" s="126" t="s">
        <v>123</v>
      </c>
      <c r="D4" s="127"/>
      <c r="E4" s="128"/>
      <c r="F4" s="44">
        <v>10</v>
      </c>
      <c r="G4" s="123" t="s">
        <v>125</v>
      </c>
      <c r="H4" s="123" t="s">
        <v>264</v>
      </c>
    </row>
    <row r="5" spans="1:12" ht="43.2" x14ac:dyDescent="0.3">
      <c r="A5" s="119" t="s">
        <v>46</v>
      </c>
      <c r="B5" s="119"/>
      <c r="C5" s="39">
        <v>55</v>
      </c>
      <c r="D5" s="39">
        <f>AVERAGE(C27,D27,F27,H27,I27,L27,K27)</f>
        <v>94.642857142857139</v>
      </c>
      <c r="E5" s="33">
        <v>140</v>
      </c>
      <c r="F5" s="57" t="s">
        <v>173</v>
      </c>
      <c r="G5" s="124"/>
      <c r="H5" s="124"/>
    </row>
    <row r="6" spans="1:12" x14ac:dyDescent="0.3">
      <c r="A6" s="129" t="s">
        <v>3</v>
      </c>
      <c r="B6" s="19" t="s">
        <v>39</v>
      </c>
      <c r="C6" s="39">
        <f t="shared" ref="C6:C11" si="0">ROUND(H28,-2)</f>
        <v>2500</v>
      </c>
      <c r="D6" s="39">
        <f>ROUND(AVERAGE(C6,E6),-2)</f>
        <v>2800</v>
      </c>
      <c r="E6" s="39">
        <f>ROUND(J28,-2)</f>
        <v>3000</v>
      </c>
      <c r="F6" s="44">
        <v>2</v>
      </c>
      <c r="G6" s="124"/>
      <c r="H6" s="124"/>
    </row>
    <row r="7" spans="1:12" x14ac:dyDescent="0.3">
      <c r="A7" s="129"/>
      <c r="B7" s="19" t="s">
        <v>40</v>
      </c>
      <c r="C7" s="39">
        <f t="shared" si="0"/>
        <v>3000</v>
      </c>
      <c r="D7" s="39">
        <f>ROUND(AVERAGE(C7,E7),-2)</f>
        <v>3500</v>
      </c>
      <c r="E7" s="39">
        <f>ROUND(J29,-2)</f>
        <v>4000</v>
      </c>
      <c r="F7" s="44">
        <v>2</v>
      </c>
      <c r="G7" s="124"/>
      <c r="H7" s="124"/>
    </row>
    <row r="8" spans="1:12" x14ac:dyDescent="0.3">
      <c r="A8" s="129"/>
      <c r="B8" s="19" t="s">
        <v>41</v>
      </c>
      <c r="C8" s="39">
        <f t="shared" si="0"/>
        <v>3000</v>
      </c>
      <c r="D8" s="39">
        <f>ROUND(AVERAGE(F30,H30,J30),-2)</f>
        <v>3700</v>
      </c>
      <c r="E8" s="39">
        <f>ROUND(F30,-2)</f>
        <v>5000</v>
      </c>
      <c r="F8" s="44">
        <v>3</v>
      </c>
      <c r="G8" s="124"/>
      <c r="H8" s="124"/>
    </row>
    <row r="9" spans="1:12" x14ac:dyDescent="0.3">
      <c r="A9" s="129"/>
      <c r="B9" s="19" t="s">
        <v>42</v>
      </c>
      <c r="C9" s="39">
        <f t="shared" si="0"/>
        <v>4000</v>
      </c>
      <c r="D9" s="39">
        <f>ROUND(AVERAGE(C9,E9),-2)</f>
        <v>4000</v>
      </c>
      <c r="E9" s="39">
        <f>ROUND(J31,-2)</f>
        <v>4000</v>
      </c>
      <c r="F9" s="44">
        <v>2</v>
      </c>
      <c r="G9" s="124"/>
      <c r="H9" s="124"/>
    </row>
    <row r="10" spans="1:12" x14ac:dyDescent="0.3">
      <c r="A10" s="129"/>
      <c r="B10" s="19" t="s">
        <v>97</v>
      </c>
      <c r="C10" s="39">
        <f t="shared" si="0"/>
        <v>5000</v>
      </c>
      <c r="D10" s="39">
        <f>ROUND(AVERAGE(G32,H32,J32,7000,10400),-2)</f>
        <v>6800</v>
      </c>
      <c r="E10" s="33">
        <v>10400</v>
      </c>
      <c r="F10" s="44">
        <v>5</v>
      </c>
      <c r="G10" s="124"/>
      <c r="H10" s="124"/>
    </row>
    <row r="11" spans="1:12" x14ac:dyDescent="0.3">
      <c r="A11" s="129"/>
      <c r="B11" s="19" t="s">
        <v>98</v>
      </c>
      <c r="C11" s="39">
        <f t="shared" si="0"/>
        <v>6000</v>
      </c>
      <c r="D11" s="39">
        <f>ROUND(AVERAGE(F33,H33,J33),-2)</f>
        <v>7000</v>
      </c>
      <c r="E11" s="39">
        <v>8000</v>
      </c>
      <c r="F11" s="44">
        <v>3</v>
      </c>
      <c r="G11" s="124"/>
      <c r="H11" s="124"/>
    </row>
    <row r="12" spans="1:12" x14ac:dyDescent="0.3">
      <c r="A12" s="129"/>
      <c r="B12" s="19" t="s">
        <v>43</v>
      </c>
      <c r="C12" s="39">
        <f>ROUND(G34,-2)</f>
        <v>6600</v>
      </c>
      <c r="D12" s="39">
        <f>ROUND(AVERAGE(G34,H34,J34),-2)</f>
        <v>7200</v>
      </c>
      <c r="E12" s="39">
        <f>ROUND(J34,-2)</f>
        <v>8000</v>
      </c>
      <c r="F12" s="44">
        <v>3</v>
      </c>
      <c r="G12" s="124"/>
      <c r="H12" s="124"/>
    </row>
    <row r="13" spans="1:12" x14ac:dyDescent="0.3">
      <c r="A13" s="129"/>
      <c r="B13" s="19" t="s">
        <v>44</v>
      </c>
      <c r="C13" s="39">
        <f>ROUND(7000,-2)</f>
        <v>7000</v>
      </c>
      <c r="D13" s="39">
        <f>ROUND(AVERAGE(8500,F35,H35),-2)</f>
        <v>9400</v>
      </c>
      <c r="E13" s="39">
        <f>ROUND(F35,-2)</f>
        <v>11600</v>
      </c>
      <c r="F13" s="44">
        <v>5</v>
      </c>
      <c r="G13" s="124"/>
      <c r="H13" s="124"/>
    </row>
    <row r="14" spans="1:12" x14ac:dyDescent="0.3">
      <c r="A14" s="129"/>
      <c r="B14" s="19" t="s">
        <v>45</v>
      </c>
      <c r="C14" s="39">
        <f>ROUND(G36,-2)</f>
        <v>5600</v>
      </c>
      <c r="D14" s="39">
        <f>ROUND(AVERAGE(C14,E14),-2)</f>
        <v>6300</v>
      </c>
      <c r="E14" s="39">
        <f>ROUND(H36,-2)</f>
        <v>7000</v>
      </c>
      <c r="F14" s="44">
        <v>2</v>
      </c>
      <c r="G14" s="125"/>
      <c r="H14" s="125"/>
    </row>
    <row r="15" spans="1:12" ht="44.25" customHeight="1" x14ac:dyDescent="0.3">
      <c r="A15" s="21" t="s">
        <v>49</v>
      </c>
      <c r="B15" s="34"/>
      <c r="C15" s="36">
        <v>1</v>
      </c>
      <c r="D15" s="36">
        <v>10</v>
      </c>
      <c r="E15" s="36">
        <v>11</v>
      </c>
      <c r="F15" s="36">
        <v>13</v>
      </c>
      <c r="G15" s="36">
        <v>14</v>
      </c>
      <c r="H15" s="36">
        <v>15</v>
      </c>
      <c r="I15" s="36">
        <v>16</v>
      </c>
      <c r="J15" s="36">
        <v>18</v>
      </c>
      <c r="K15" s="36">
        <v>23</v>
      </c>
      <c r="L15" s="36">
        <v>25</v>
      </c>
    </row>
    <row r="16" spans="1:12" x14ac:dyDescent="0.3">
      <c r="B16" s="12" t="s">
        <v>26</v>
      </c>
      <c r="C16" s="17">
        <v>1</v>
      </c>
      <c r="D16" s="17">
        <v>2</v>
      </c>
      <c r="E16" s="17">
        <v>3</v>
      </c>
      <c r="F16" s="17">
        <v>4</v>
      </c>
      <c r="G16" s="17">
        <v>5</v>
      </c>
      <c r="H16" s="17">
        <v>6</v>
      </c>
      <c r="I16" s="17">
        <v>7</v>
      </c>
      <c r="J16" s="17">
        <v>8</v>
      </c>
      <c r="K16" s="17">
        <v>9</v>
      </c>
      <c r="L16" s="17">
        <v>10</v>
      </c>
    </row>
    <row r="17" spans="1:12" x14ac:dyDescent="0.3">
      <c r="A17" s="119" t="s">
        <v>35</v>
      </c>
      <c r="B17" s="119"/>
      <c r="C17" s="37" t="s">
        <v>126</v>
      </c>
      <c r="D17" s="37" t="s">
        <v>142</v>
      </c>
      <c r="E17" s="37" t="s">
        <v>142</v>
      </c>
      <c r="F17" s="37" t="s">
        <v>147</v>
      </c>
      <c r="G17" s="37" t="s">
        <v>142</v>
      </c>
      <c r="H17" s="37" t="s">
        <v>142</v>
      </c>
      <c r="I17" s="37" t="s">
        <v>168</v>
      </c>
      <c r="J17" s="37" t="s">
        <v>142</v>
      </c>
      <c r="K17" s="37" t="s">
        <v>142</v>
      </c>
      <c r="L17" s="37" t="s">
        <v>142</v>
      </c>
    </row>
    <row r="18" spans="1:12" ht="98.4" customHeight="1" x14ac:dyDescent="0.3">
      <c r="A18" s="119" t="s">
        <v>36</v>
      </c>
      <c r="B18" s="119"/>
      <c r="C18" s="43" t="s">
        <v>258</v>
      </c>
      <c r="D18" s="43" t="s">
        <v>158</v>
      </c>
      <c r="E18" s="43" t="s">
        <v>159</v>
      </c>
      <c r="F18" s="43" t="s">
        <v>160</v>
      </c>
      <c r="G18" s="43" t="s">
        <v>161</v>
      </c>
      <c r="H18" s="43" t="s">
        <v>157</v>
      </c>
      <c r="I18" s="43" t="s">
        <v>167</v>
      </c>
      <c r="J18" s="37" t="s">
        <v>50</v>
      </c>
      <c r="K18" s="37" t="s">
        <v>174</v>
      </c>
      <c r="L18" s="43" t="s">
        <v>178</v>
      </c>
    </row>
    <row r="19" spans="1:12" ht="43.2" x14ac:dyDescent="0.3">
      <c r="A19" s="120" t="s">
        <v>37</v>
      </c>
      <c r="B19" s="121"/>
      <c r="C19" s="37" t="s">
        <v>100</v>
      </c>
      <c r="D19" s="37" t="s">
        <v>143</v>
      </c>
      <c r="E19" s="37" t="s">
        <v>108</v>
      </c>
      <c r="F19" s="43" t="s">
        <v>213</v>
      </c>
      <c r="G19" s="37" t="s">
        <v>108</v>
      </c>
      <c r="H19" s="37" t="s">
        <v>143</v>
      </c>
      <c r="I19" s="43" t="s">
        <v>214</v>
      </c>
      <c r="J19" s="43" t="s">
        <v>116</v>
      </c>
      <c r="K19" s="37" t="s">
        <v>108</v>
      </c>
      <c r="L19" s="43" t="s">
        <v>179</v>
      </c>
    </row>
    <row r="20" spans="1:12" x14ac:dyDescent="0.3">
      <c r="A20" s="122" t="s">
        <v>38</v>
      </c>
      <c r="B20" s="122"/>
      <c r="C20" s="37" t="s">
        <v>131</v>
      </c>
      <c r="D20" s="37" t="s">
        <v>140</v>
      </c>
      <c r="E20" s="37" t="s">
        <v>141</v>
      </c>
      <c r="F20" s="37" t="s">
        <v>141</v>
      </c>
      <c r="G20" s="37" t="s">
        <v>151</v>
      </c>
      <c r="H20" s="37" t="s">
        <v>141</v>
      </c>
      <c r="I20" s="37" t="s">
        <v>115</v>
      </c>
      <c r="J20" s="37" t="s">
        <v>140</v>
      </c>
      <c r="K20" s="37" t="s">
        <v>141</v>
      </c>
      <c r="L20" s="37" t="s">
        <v>140</v>
      </c>
    </row>
    <row r="21" spans="1:12" ht="15" customHeight="1" x14ac:dyDescent="0.3">
      <c r="A21" s="122" t="s">
        <v>27</v>
      </c>
      <c r="B21" s="122"/>
      <c r="C21" s="37">
        <v>5</v>
      </c>
      <c r="D21" s="37">
        <v>4</v>
      </c>
      <c r="E21" s="37">
        <v>2</v>
      </c>
      <c r="F21" s="37">
        <v>5</v>
      </c>
      <c r="G21" s="37">
        <v>3</v>
      </c>
      <c r="H21" s="37">
        <v>4</v>
      </c>
      <c r="I21" s="37">
        <v>3</v>
      </c>
      <c r="J21" s="37">
        <v>5</v>
      </c>
      <c r="K21" s="37">
        <v>4</v>
      </c>
      <c r="L21" s="37">
        <v>3</v>
      </c>
    </row>
    <row r="22" spans="1:12" x14ac:dyDescent="0.3">
      <c r="C22" s="38"/>
      <c r="D22" s="38"/>
      <c r="E22" s="38"/>
      <c r="F22" s="38"/>
      <c r="G22" s="38"/>
      <c r="H22" s="38"/>
      <c r="I22" s="38"/>
      <c r="J22" s="38"/>
      <c r="K22" s="38"/>
      <c r="L22" s="38"/>
    </row>
    <row r="23" spans="1:12" ht="72" x14ac:dyDescent="0.3">
      <c r="A23" s="122" t="s">
        <v>2</v>
      </c>
      <c r="B23" s="122"/>
      <c r="C23" s="40" t="s">
        <v>108</v>
      </c>
      <c r="D23" s="40" t="s">
        <v>108</v>
      </c>
      <c r="E23" s="40" t="s">
        <v>108</v>
      </c>
      <c r="F23" s="39">
        <f>12500-900</f>
        <v>11600</v>
      </c>
      <c r="G23" s="41" t="s">
        <v>152</v>
      </c>
      <c r="H23" s="39">
        <v>3000</v>
      </c>
      <c r="I23" s="40" t="s">
        <v>108</v>
      </c>
      <c r="J23" s="39">
        <v>7000</v>
      </c>
      <c r="K23" s="39">
        <v>7400</v>
      </c>
      <c r="L23" s="39">
        <v>10400</v>
      </c>
    </row>
    <row r="24" spans="1:12" x14ac:dyDescent="0.3">
      <c r="A24" s="122" t="s">
        <v>13</v>
      </c>
      <c r="B24" s="122"/>
      <c r="C24" s="39" t="s">
        <v>99</v>
      </c>
      <c r="D24" s="45" t="s">
        <v>105</v>
      </c>
      <c r="E24" s="39" t="s">
        <v>105</v>
      </c>
      <c r="F24" s="42">
        <v>1</v>
      </c>
      <c r="G24" s="42">
        <v>1</v>
      </c>
      <c r="H24" s="42">
        <v>1</v>
      </c>
      <c r="I24" s="40" t="s">
        <v>108</v>
      </c>
      <c r="J24" s="42">
        <v>2</v>
      </c>
      <c r="K24" s="42">
        <v>1</v>
      </c>
      <c r="L24" s="42">
        <v>1</v>
      </c>
    </row>
    <row r="25" spans="1:12" ht="28.8" x14ac:dyDescent="0.3">
      <c r="A25" s="122" t="s">
        <v>1</v>
      </c>
      <c r="B25" s="122"/>
      <c r="C25" s="39" t="s">
        <v>100</v>
      </c>
      <c r="D25" s="39" t="s">
        <v>101</v>
      </c>
      <c r="E25" s="39" t="s">
        <v>106</v>
      </c>
      <c r="F25" s="41" t="s">
        <v>145</v>
      </c>
      <c r="G25" s="39" t="s">
        <v>110</v>
      </c>
      <c r="H25" s="41" t="s">
        <v>156</v>
      </c>
      <c r="I25" s="39" t="s">
        <v>113</v>
      </c>
      <c r="J25" s="39" t="s">
        <v>165</v>
      </c>
      <c r="K25" s="39" t="s">
        <v>119</v>
      </c>
      <c r="L25" s="39" t="s">
        <v>101</v>
      </c>
    </row>
    <row r="26" spans="1:12" ht="65.25" customHeight="1" x14ac:dyDescent="0.3">
      <c r="A26" s="122" t="s">
        <v>46</v>
      </c>
      <c r="B26" s="122"/>
      <c r="C26" s="41" t="s">
        <v>103</v>
      </c>
      <c r="D26" s="39" t="s">
        <v>102</v>
      </c>
      <c r="E26" s="98" t="s">
        <v>122</v>
      </c>
      <c r="F26" s="70" t="s">
        <v>109</v>
      </c>
      <c r="G26" s="40" t="s">
        <v>108</v>
      </c>
      <c r="H26" s="70" t="s">
        <v>112</v>
      </c>
      <c r="I26" s="70">
        <v>100</v>
      </c>
      <c r="J26" s="98" t="s">
        <v>169</v>
      </c>
      <c r="K26" s="45" t="s">
        <v>176</v>
      </c>
      <c r="L26" s="39" t="s">
        <v>121</v>
      </c>
    </row>
    <row r="27" spans="1:12" ht="28.8" x14ac:dyDescent="0.3">
      <c r="A27" s="130" t="s">
        <v>237</v>
      </c>
      <c r="B27" s="131"/>
      <c r="C27" s="41">
        <v>100</v>
      </c>
      <c r="D27" s="39">
        <v>85</v>
      </c>
      <c r="E27" s="108" t="s">
        <v>805</v>
      </c>
      <c r="F27" s="70">
        <v>125</v>
      </c>
      <c r="G27" s="40" t="s">
        <v>108</v>
      </c>
      <c r="H27" s="70">
        <v>65</v>
      </c>
      <c r="I27" s="70">
        <v>100</v>
      </c>
      <c r="J27" s="98" t="s">
        <v>172</v>
      </c>
      <c r="K27" s="41">
        <v>57.5</v>
      </c>
      <c r="L27" s="39">
        <v>130</v>
      </c>
    </row>
    <row r="28" spans="1:12" x14ac:dyDescent="0.3">
      <c r="A28" s="133" t="s">
        <v>3</v>
      </c>
      <c r="B28" s="19" t="s">
        <v>39</v>
      </c>
      <c r="C28" s="40" t="s">
        <v>108</v>
      </c>
      <c r="D28" s="40" t="s">
        <v>108</v>
      </c>
      <c r="E28" s="40" t="s">
        <v>108</v>
      </c>
      <c r="F28" s="40" t="s">
        <v>108</v>
      </c>
      <c r="G28" s="40" t="s">
        <v>108</v>
      </c>
      <c r="H28" s="70">
        <v>2500</v>
      </c>
      <c r="I28" s="40" t="s">
        <v>108</v>
      </c>
      <c r="J28" s="70">
        <v>3000</v>
      </c>
      <c r="K28" s="39" t="s">
        <v>108</v>
      </c>
      <c r="L28" s="45" t="s">
        <v>108</v>
      </c>
    </row>
    <row r="29" spans="1:12" x14ac:dyDescent="0.3">
      <c r="A29" s="134"/>
      <c r="B29" s="19" t="s">
        <v>40</v>
      </c>
      <c r="C29" s="40" t="s">
        <v>108</v>
      </c>
      <c r="D29" s="40" t="s">
        <v>108</v>
      </c>
      <c r="E29" s="40" t="s">
        <v>108</v>
      </c>
      <c r="F29" s="40" t="s">
        <v>108</v>
      </c>
      <c r="G29" s="40" t="s">
        <v>108</v>
      </c>
      <c r="H29" s="70">
        <v>3000</v>
      </c>
      <c r="I29" s="40" t="s">
        <v>108</v>
      </c>
      <c r="J29" s="70">
        <v>4000</v>
      </c>
      <c r="K29" s="45" t="s">
        <v>108</v>
      </c>
      <c r="L29" s="45" t="s">
        <v>108</v>
      </c>
    </row>
    <row r="30" spans="1:12" ht="43.2" x14ac:dyDescent="0.3">
      <c r="A30" s="134"/>
      <c r="B30" s="19" t="s">
        <v>41</v>
      </c>
      <c r="C30" s="40" t="s">
        <v>108</v>
      </c>
      <c r="D30" s="40" t="s">
        <v>108</v>
      </c>
      <c r="E30" s="40" t="s">
        <v>108</v>
      </c>
      <c r="F30" s="70">
        <v>5000</v>
      </c>
      <c r="G30" s="98" t="s">
        <v>111</v>
      </c>
      <c r="H30" s="70">
        <v>3000</v>
      </c>
      <c r="I30" s="40" t="s">
        <v>108</v>
      </c>
      <c r="J30" s="70">
        <v>3000</v>
      </c>
      <c r="K30" s="45" t="s">
        <v>108</v>
      </c>
      <c r="L30" s="45" t="s">
        <v>108</v>
      </c>
    </row>
    <row r="31" spans="1:12" x14ac:dyDescent="0.3">
      <c r="A31" s="134"/>
      <c r="B31" s="19" t="s">
        <v>42</v>
      </c>
      <c r="C31" s="40" t="s">
        <v>108</v>
      </c>
      <c r="D31" s="40" t="s">
        <v>108</v>
      </c>
      <c r="E31" s="40" t="s">
        <v>108</v>
      </c>
      <c r="F31" s="40" t="s">
        <v>108</v>
      </c>
      <c r="G31" s="40" t="s">
        <v>108</v>
      </c>
      <c r="H31" s="39">
        <v>4000</v>
      </c>
      <c r="I31" s="40" t="s">
        <v>108</v>
      </c>
      <c r="J31" s="39">
        <v>4000</v>
      </c>
      <c r="K31" s="45" t="s">
        <v>108</v>
      </c>
      <c r="L31" s="45" t="s">
        <v>108</v>
      </c>
    </row>
    <row r="32" spans="1:12" ht="28.8" x14ac:dyDescent="0.3">
      <c r="A32" s="134"/>
      <c r="B32" s="19" t="s">
        <v>97</v>
      </c>
      <c r="C32" s="40" t="s">
        <v>108</v>
      </c>
      <c r="D32" s="40" t="s">
        <v>108</v>
      </c>
      <c r="E32" s="40" t="s">
        <v>108</v>
      </c>
      <c r="F32" s="40" t="s">
        <v>108</v>
      </c>
      <c r="G32" s="39">
        <v>6042.25</v>
      </c>
      <c r="H32" s="39">
        <v>5000</v>
      </c>
      <c r="I32" s="40" t="s">
        <v>108</v>
      </c>
      <c r="J32" s="39">
        <v>5600</v>
      </c>
      <c r="K32" s="86" t="s">
        <v>171</v>
      </c>
      <c r="L32" s="86" t="s">
        <v>120</v>
      </c>
    </row>
    <row r="33" spans="1:12" x14ac:dyDescent="0.3">
      <c r="A33" s="134"/>
      <c r="B33" s="19" t="s">
        <v>98</v>
      </c>
      <c r="C33" s="40" t="s">
        <v>108</v>
      </c>
      <c r="D33" s="40" t="s">
        <v>108</v>
      </c>
      <c r="E33" s="40" t="s">
        <v>108</v>
      </c>
      <c r="F33" s="39">
        <v>8000</v>
      </c>
      <c r="G33" s="40" t="s">
        <v>108</v>
      </c>
      <c r="H33" s="39">
        <v>6000</v>
      </c>
      <c r="I33" s="40" t="s">
        <v>108</v>
      </c>
      <c r="J33" s="39">
        <v>6930</v>
      </c>
      <c r="K33" s="45" t="s">
        <v>108</v>
      </c>
      <c r="L33" s="45" t="s">
        <v>108</v>
      </c>
    </row>
    <row r="34" spans="1:12" x14ac:dyDescent="0.3">
      <c r="A34" s="134"/>
      <c r="B34" s="19" t="s">
        <v>43</v>
      </c>
      <c r="C34" s="40" t="s">
        <v>108</v>
      </c>
      <c r="D34" s="40" t="s">
        <v>108</v>
      </c>
      <c r="E34" s="40" t="s">
        <v>108</v>
      </c>
      <c r="F34" s="40" t="s">
        <v>108</v>
      </c>
      <c r="G34" s="39">
        <v>6640.4</v>
      </c>
      <c r="H34" s="39">
        <v>7000</v>
      </c>
      <c r="I34" s="40" t="s">
        <v>108</v>
      </c>
      <c r="J34" s="39">
        <v>8000</v>
      </c>
      <c r="K34" s="45" t="s">
        <v>108</v>
      </c>
      <c r="L34" s="45" t="s">
        <v>108</v>
      </c>
    </row>
    <row r="35" spans="1:12" x14ac:dyDescent="0.3">
      <c r="A35" s="134"/>
      <c r="B35" s="19" t="s">
        <v>44</v>
      </c>
      <c r="C35" s="39" t="s">
        <v>104</v>
      </c>
      <c r="D35" s="40" t="s">
        <v>108</v>
      </c>
      <c r="E35" s="74" t="s">
        <v>107</v>
      </c>
      <c r="F35" s="74">
        <f>12500-900</f>
        <v>11600</v>
      </c>
      <c r="G35" s="107" t="s">
        <v>108</v>
      </c>
      <c r="H35" s="74">
        <v>8000</v>
      </c>
      <c r="I35" s="107" t="s">
        <v>108</v>
      </c>
      <c r="J35" s="74" t="s">
        <v>118</v>
      </c>
      <c r="K35" s="45" t="s">
        <v>108</v>
      </c>
      <c r="L35" s="45" t="s">
        <v>108</v>
      </c>
    </row>
    <row r="36" spans="1:12" x14ac:dyDescent="0.3">
      <c r="A36" s="135"/>
      <c r="B36" s="19" t="s">
        <v>45</v>
      </c>
      <c r="C36" s="40" t="s">
        <v>108</v>
      </c>
      <c r="D36" s="40" t="s">
        <v>108</v>
      </c>
      <c r="E36" s="40" t="s">
        <v>108</v>
      </c>
      <c r="F36" s="40" t="s">
        <v>108</v>
      </c>
      <c r="G36" s="39">
        <v>5629.96</v>
      </c>
      <c r="H36" s="39">
        <v>7000</v>
      </c>
      <c r="I36" s="40" t="s">
        <v>108</v>
      </c>
      <c r="J36" s="40" t="s">
        <v>108</v>
      </c>
      <c r="K36" s="45" t="s">
        <v>108</v>
      </c>
      <c r="L36" s="45" t="s">
        <v>108</v>
      </c>
    </row>
    <row r="37" spans="1:12" x14ac:dyDescent="0.3">
      <c r="C37" s="38"/>
      <c r="D37" s="38"/>
      <c r="E37" s="38"/>
      <c r="F37" s="38"/>
      <c r="G37" s="38"/>
      <c r="H37" s="38"/>
      <c r="I37" s="38"/>
      <c r="J37" s="38"/>
      <c r="K37" s="38"/>
      <c r="L37" s="38"/>
    </row>
    <row r="38" spans="1:12" ht="72" x14ac:dyDescent="0.3">
      <c r="A38" s="122" t="s">
        <v>68</v>
      </c>
      <c r="B38" s="122"/>
      <c r="C38" s="40" t="s">
        <v>139</v>
      </c>
      <c r="D38" s="40" t="s">
        <v>108</v>
      </c>
      <c r="E38" s="40" t="s">
        <v>108</v>
      </c>
      <c r="F38" s="40" t="s">
        <v>108</v>
      </c>
      <c r="G38" s="40" t="s">
        <v>108</v>
      </c>
      <c r="H38" s="40" t="s">
        <v>108</v>
      </c>
      <c r="I38" s="40" t="s">
        <v>108</v>
      </c>
      <c r="J38" s="40" t="s">
        <v>108</v>
      </c>
      <c r="K38" s="45" t="s">
        <v>108</v>
      </c>
      <c r="L38" s="45" t="s">
        <v>108</v>
      </c>
    </row>
    <row r="39" spans="1:12" ht="57.6" x14ac:dyDescent="0.3">
      <c r="A39" s="122" t="s">
        <v>69</v>
      </c>
      <c r="B39" s="122"/>
      <c r="C39" s="40" t="s">
        <v>132</v>
      </c>
      <c r="D39" s="40" t="s">
        <v>108</v>
      </c>
      <c r="E39" s="40" t="s">
        <v>108</v>
      </c>
      <c r="F39" s="40" t="s">
        <v>108</v>
      </c>
      <c r="G39" s="40" t="s">
        <v>108</v>
      </c>
      <c r="H39" s="40" t="s">
        <v>108</v>
      </c>
      <c r="I39" s="40" t="s">
        <v>108</v>
      </c>
      <c r="J39" s="40" t="s">
        <v>108</v>
      </c>
      <c r="K39" s="45" t="s">
        <v>108</v>
      </c>
      <c r="L39" s="45" t="s">
        <v>108</v>
      </c>
    </row>
    <row r="40" spans="1:12" ht="155.25" customHeight="1" x14ac:dyDescent="0.3">
      <c r="A40" s="122" t="s">
        <v>70</v>
      </c>
      <c r="B40" s="122"/>
      <c r="C40" s="46" t="s">
        <v>138</v>
      </c>
      <c r="D40" s="40" t="s">
        <v>108</v>
      </c>
      <c r="E40" s="40" t="s">
        <v>144</v>
      </c>
      <c r="F40" s="40" t="s">
        <v>149</v>
      </c>
      <c r="G40" s="40" t="s">
        <v>281</v>
      </c>
      <c r="H40" s="40" t="s">
        <v>163</v>
      </c>
      <c r="I40" s="40" t="s">
        <v>114</v>
      </c>
      <c r="J40" s="40" t="s">
        <v>170</v>
      </c>
      <c r="K40" s="40" t="s">
        <v>108</v>
      </c>
      <c r="L40" s="40" t="s">
        <v>181</v>
      </c>
    </row>
    <row r="41" spans="1:12" ht="158.4" x14ac:dyDescent="0.3">
      <c r="A41" s="122" t="s">
        <v>71</v>
      </c>
      <c r="B41" s="122"/>
      <c r="C41" s="40" t="s">
        <v>134</v>
      </c>
      <c r="D41" s="40" t="s">
        <v>108</v>
      </c>
      <c r="E41" s="40" t="s">
        <v>155</v>
      </c>
      <c r="F41" s="40" t="s">
        <v>150</v>
      </c>
      <c r="G41" s="40" t="s">
        <v>154</v>
      </c>
      <c r="H41" s="40" t="s">
        <v>108</v>
      </c>
      <c r="I41" s="40" t="s">
        <v>108</v>
      </c>
      <c r="J41" s="40" t="s">
        <v>166</v>
      </c>
      <c r="K41" s="40" t="s">
        <v>108</v>
      </c>
      <c r="L41" s="40" t="s">
        <v>108</v>
      </c>
    </row>
    <row r="42" spans="1:12" ht="403.2" x14ac:dyDescent="0.3">
      <c r="A42" s="132" t="s">
        <v>803</v>
      </c>
      <c r="B42" s="122"/>
      <c r="C42" s="40" t="s">
        <v>136</v>
      </c>
      <c r="D42" s="40" t="s">
        <v>108</v>
      </c>
      <c r="E42" s="40" t="s">
        <v>108</v>
      </c>
      <c r="F42" s="40" t="s">
        <v>148</v>
      </c>
      <c r="G42" s="40" t="s">
        <v>153</v>
      </c>
      <c r="H42" s="40" t="s">
        <v>164</v>
      </c>
      <c r="I42" s="40" t="s">
        <v>108</v>
      </c>
      <c r="J42" s="40" t="s">
        <v>117</v>
      </c>
      <c r="K42" s="40" t="s">
        <v>177</v>
      </c>
      <c r="L42" s="40" t="s">
        <v>108</v>
      </c>
    </row>
    <row r="43" spans="1:12" ht="86.4" x14ac:dyDescent="0.3">
      <c r="A43" s="122" t="s">
        <v>73</v>
      </c>
      <c r="B43" s="122"/>
      <c r="C43" s="40" t="s">
        <v>137</v>
      </c>
      <c r="D43" s="40" t="s">
        <v>108</v>
      </c>
      <c r="E43" s="40" t="s">
        <v>108</v>
      </c>
      <c r="F43" s="40" t="s">
        <v>108</v>
      </c>
      <c r="G43" s="40" t="s">
        <v>108</v>
      </c>
      <c r="H43" s="40" t="s">
        <v>108</v>
      </c>
      <c r="I43" s="40" t="s">
        <v>108</v>
      </c>
      <c r="J43" s="40" t="s">
        <v>108</v>
      </c>
      <c r="K43" s="40" t="s">
        <v>108</v>
      </c>
      <c r="L43" s="40" t="s">
        <v>108</v>
      </c>
    </row>
    <row r="44" spans="1:12" ht="187.2" x14ac:dyDescent="0.3">
      <c r="A44" s="122" t="s">
        <v>74</v>
      </c>
      <c r="B44" s="122"/>
      <c r="C44" s="40" t="s">
        <v>135</v>
      </c>
      <c r="D44" s="40" t="s">
        <v>108</v>
      </c>
      <c r="E44" s="40" t="s">
        <v>279</v>
      </c>
      <c r="F44" s="40" t="s">
        <v>278</v>
      </c>
      <c r="G44" s="40" t="s">
        <v>280</v>
      </c>
      <c r="H44" s="40" t="s">
        <v>162</v>
      </c>
      <c r="I44" s="40" t="s">
        <v>108</v>
      </c>
      <c r="J44" s="40" t="s">
        <v>276</v>
      </c>
      <c r="K44" s="40" t="s">
        <v>175</v>
      </c>
      <c r="L44" s="40" t="s">
        <v>180</v>
      </c>
    </row>
  </sheetData>
  <mergeCells count="24">
    <mergeCell ref="A27:B27"/>
    <mergeCell ref="A21:B21"/>
    <mergeCell ref="A44:B44"/>
    <mergeCell ref="A38:B38"/>
    <mergeCell ref="A39:B39"/>
    <mergeCell ref="A40:B40"/>
    <mergeCell ref="A41:B41"/>
    <mergeCell ref="A42:B42"/>
    <mergeCell ref="A43:B43"/>
    <mergeCell ref="A23:B23"/>
    <mergeCell ref="A24:B24"/>
    <mergeCell ref="A25:B25"/>
    <mergeCell ref="A28:A36"/>
    <mergeCell ref="A26:B26"/>
    <mergeCell ref="A17:B17"/>
    <mergeCell ref="A18:B18"/>
    <mergeCell ref="A19:B19"/>
    <mergeCell ref="A20:B20"/>
    <mergeCell ref="H4:H14"/>
    <mergeCell ref="C4:E4"/>
    <mergeCell ref="G4:G14"/>
    <mergeCell ref="A6:A14"/>
    <mergeCell ref="A5:B5"/>
    <mergeCell ref="A4:B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L44"/>
  <sheetViews>
    <sheetView zoomScale="55" zoomScaleNormal="55" workbookViewId="0">
      <selection activeCell="D8" sqref="D8"/>
    </sheetView>
  </sheetViews>
  <sheetFormatPr defaultColWidth="9.109375" defaultRowHeight="14.4" x14ac:dyDescent="0.3"/>
  <cols>
    <col min="1" max="1" width="11.109375" style="1" customWidth="1"/>
    <col min="2" max="2" width="45.33203125" style="1" customWidth="1"/>
    <col min="3" max="11" width="16.5546875" style="1" customWidth="1"/>
    <col min="12" max="12" width="16.6640625" style="1" customWidth="1"/>
    <col min="13" max="13" width="59.109375" style="1" bestFit="1" customWidth="1"/>
    <col min="14" max="14" width="46.88671875" style="1" customWidth="1"/>
    <col min="15" max="16384" width="9.109375" style="1"/>
  </cols>
  <sheetData>
    <row r="1" spans="1:12" x14ac:dyDescent="0.3">
      <c r="A1" s="24" t="s">
        <v>75</v>
      </c>
      <c r="B1" s="25"/>
    </row>
    <row r="2" spans="1:12" ht="48" customHeight="1" x14ac:dyDescent="0.3">
      <c r="A2" s="21" t="s">
        <v>33</v>
      </c>
    </row>
    <row r="3" spans="1:12" ht="43.2" x14ac:dyDescent="0.3">
      <c r="C3" s="14" t="s">
        <v>28</v>
      </c>
      <c r="D3" s="14" t="s">
        <v>30</v>
      </c>
      <c r="E3" s="14" t="s">
        <v>29</v>
      </c>
      <c r="F3" s="14" t="s">
        <v>124</v>
      </c>
      <c r="G3" s="14" t="s">
        <v>31</v>
      </c>
      <c r="H3" s="14" t="s">
        <v>32</v>
      </c>
    </row>
    <row r="4" spans="1:12" ht="30.6" customHeight="1" x14ac:dyDescent="0.3">
      <c r="A4" s="119" t="s">
        <v>34</v>
      </c>
      <c r="B4" s="119"/>
      <c r="C4" s="126" t="s">
        <v>257</v>
      </c>
      <c r="D4" s="127"/>
      <c r="E4" s="128"/>
      <c r="F4" s="44">
        <v>9</v>
      </c>
      <c r="G4" s="123" t="s">
        <v>263</v>
      </c>
      <c r="H4" s="123" t="s">
        <v>624</v>
      </c>
    </row>
    <row r="5" spans="1:12" ht="43.2" x14ac:dyDescent="0.3">
      <c r="A5" s="119" t="s">
        <v>46</v>
      </c>
      <c r="B5" s="119"/>
      <c r="C5" s="48">
        <v>55</v>
      </c>
      <c r="D5" s="48">
        <f>AVERAGE(C27,E27,G27,I27,J27)</f>
        <v>116</v>
      </c>
      <c r="E5" s="47">
        <v>180</v>
      </c>
      <c r="F5" s="57" t="s">
        <v>261</v>
      </c>
      <c r="G5" s="124"/>
      <c r="H5" s="124"/>
    </row>
    <row r="6" spans="1:12" ht="43.2" x14ac:dyDescent="0.3">
      <c r="A6" s="129" t="s">
        <v>3</v>
      </c>
      <c r="B6" s="19" t="s">
        <v>39</v>
      </c>
      <c r="C6" s="48">
        <f>I28</f>
        <v>4300</v>
      </c>
      <c r="D6" s="48">
        <f>ROUND(AVERAGE(D28,E28,I28,K28),-2)</f>
        <v>5300</v>
      </c>
      <c r="E6" s="47">
        <f>ROUND(K28,-2)</f>
        <v>6100</v>
      </c>
      <c r="F6" s="57" t="s">
        <v>623</v>
      </c>
      <c r="G6" s="124"/>
      <c r="H6" s="124"/>
    </row>
    <row r="7" spans="1:12" x14ac:dyDescent="0.3">
      <c r="A7" s="129"/>
      <c r="B7" s="19" t="s">
        <v>40</v>
      </c>
      <c r="C7" s="70">
        <f>ROUND(K29,-2)</f>
        <v>6700</v>
      </c>
      <c r="D7" s="70">
        <f>ROUND(K29,-2)</f>
        <v>6700</v>
      </c>
      <c r="E7" s="70">
        <f>ROUND(K29,-2)</f>
        <v>6700</v>
      </c>
      <c r="F7" s="44">
        <v>1</v>
      </c>
      <c r="G7" s="124"/>
      <c r="H7" s="124"/>
    </row>
    <row r="8" spans="1:12" x14ac:dyDescent="0.3">
      <c r="A8" s="129"/>
      <c r="B8" s="19" t="s">
        <v>41</v>
      </c>
      <c r="C8" s="48">
        <f>H30</f>
        <v>5500</v>
      </c>
      <c r="D8" s="70">
        <f>ROUND(AVERAGE(D30,E30,H30,7500,K30),-2)</f>
        <v>6800</v>
      </c>
      <c r="E8" s="47">
        <v>8000</v>
      </c>
      <c r="F8" s="44">
        <v>5</v>
      </c>
      <c r="G8" s="124"/>
      <c r="H8" s="124"/>
    </row>
    <row r="9" spans="1:12" x14ac:dyDescent="0.3">
      <c r="A9" s="129"/>
      <c r="B9" s="19" t="s">
        <v>42</v>
      </c>
      <c r="C9" s="70">
        <f>ROUND(K31,-2)</f>
        <v>7500</v>
      </c>
      <c r="D9" s="70">
        <f>ROUND(K31,-2)</f>
        <v>7500</v>
      </c>
      <c r="E9" s="70">
        <f>ROUND(K31,-2)</f>
        <v>7500</v>
      </c>
      <c r="F9" s="44">
        <v>1</v>
      </c>
      <c r="G9" s="124"/>
      <c r="H9" s="124"/>
    </row>
    <row r="10" spans="1:12" x14ac:dyDescent="0.3">
      <c r="A10" s="129"/>
      <c r="B10" s="19" t="s">
        <v>97</v>
      </c>
      <c r="C10" s="48">
        <f>I32</f>
        <v>7000</v>
      </c>
      <c r="D10" s="48">
        <f>ROUND(AVERAGE(D32,E32,I32,8500,K32),-2)</f>
        <v>7800</v>
      </c>
      <c r="E10" s="47">
        <v>9000</v>
      </c>
      <c r="F10" s="44">
        <v>5</v>
      </c>
      <c r="G10" s="124"/>
      <c r="H10" s="124"/>
    </row>
    <row r="11" spans="1:12" ht="57.6" x14ac:dyDescent="0.3">
      <c r="A11" s="129"/>
      <c r="B11" s="19" t="s">
        <v>98</v>
      </c>
      <c r="C11" s="48">
        <f>ROUND(K33,-2)</f>
        <v>7800</v>
      </c>
      <c r="D11" s="48">
        <f>ROUND(AVERAGE(9000,K33),-2)</f>
        <v>8400</v>
      </c>
      <c r="E11" s="47">
        <v>10000</v>
      </c>
      <c r="F11" s="57" t="s">
        <v>625</v>
      </c>
      <c r="G11" s="124"/>
      <c r="H11" s="124"/>
    </row>
    <row r="12" spans="1:12" ht="57.6" x14ac:dyDescent="0.3">
      <c r="A12" s="129"/>
      <c r="B12" s="19" t="s">
        <v>43</v>
      </c>
      <c r="C12" s="48">
        <f>ROUND(K34,-2)</f>
        <v>8900</v>
      </c>
      <c r="D12" s="48">
        <f>ROUND(AVERAGE(D34,E34,K34),-2)</f>
        <v>10200</v>
      </c>
      <c r="E12" s="47">
        <v>12000</v>
      </c>
      <c r="F12" s="57" t="s">
        <v>626</v>
      </c>
      <c r="G12" s="124"/>
      <c r="H12" s="124"/>
    </row>
    <row r="13" spans="1:12" ht="72" x14ac:dyDescent="0.3">
      <c r="A13" s="129"/>
      <c r="B13" s="19" t="s">
        <v>44</v>
      </c>
      <c r="C13" s="48">
        <v>10000</v>
      </c>
      <c r="D13" s="48">
        <f>ROUND(AVERAGE(11000,K35),-2)</f>
        <v>11500</v>
      </c>
      <c r="E13" s="47">
        <v>20000</v>
      </c>
      <c r="F13" s="57" t="s">
        <v>627</v>
      </c>
      <c r="G13" s="124"/>
      <c r="H13" s="124"/>
    </row>
    <row r="14" spans="1:12" x14ac:dyDescent="0.3">
      <c r="A14" s="129"/>
      <c r="B14" s="19" t="s">
        <v>45</v>
      </c>
      <c r="C14" s="70">
        <v>5000</v>
      </c>
      <c r="D14" s="70">
        <f>ROUND(AVERAGE(D36,10500,7500,K36),-2)</f>
        <v>9800</v>
      </c>
      <c r="E14" s="47">
        <f>ROUND(D36,-2)</f>
        <v>11100</v>
      </c>
      <c r="F14" s="44">
        <v>4</v>
      </c>
      <c r="G14" s="125"/>
      <c r="H14" s="125"/>
    </row>
    <row r="15" spans="1:12" ht="44.25" customHeight="1" x14ac:dyDescent="0.3">
      <c r="A15" s="21" t="s">
        <v>49</v>
      </c>
      <c r="C15" s="36">
        <v>1</v>
      </c>
      <c r="D15" s="36">
        <v>2</v>
      </c>
      <c r="E15" s="36">
        <v>4</v>
      </c>
      <c r="F15" s="36">
        <v>5</v>
      </c>
      <c r="G15" s="36">
        <v>6</v>
      </c>
      <c r="H15" s="36">
        <v>10</v>
      </c>
      <c r="I15" s="36">
        <v>21</v>
      </c>
      <c r="J15" s="36">
        <v>22</v>
      </c>
      <c r="K15" s="36">
        <v>53</v>
      </c>
      <c r="L15" s="36"/>
    </row>
    <row r="16" spans="1:12" x14ac:dyDescent="0.3">
      <c r="B16" s="12" t="s">
        <v>26</v>
      </c>
      <c r="C16" s="17">
        <v>1</v>
      </c>
      <c r="D16" s="17">
        <v>2</v>
      </c>
      <c r="E16" s="17">
        <v>3</v>
      </c>
      <c r="F16" s="17">
        <v>4</v>
      </c>
      <c r="G16" s="17">
        <v>5</v>
      </c>
      <c r="H16" s="17">
        <v>6</v>
      </c>
      <c r="I16" s="17">
        <v>7</v>
      </c>
      <c r="J16" s="17">
        <v>8</v>
      </c>
      <c r="K16" s="17">
        <v>9</v>
      </c>
      <c r="L16" s="36"/>
    </row>
    <row r="17" spans="1:12" x14ac:dyDescent="0.3">
      <c r="A17" s="119" t="s">
        <v>35</v>
      </c>
      <c r="B17" s="119"/>
      <c r="C17" s="37" t="s">
        <v>126</v>
      </c>
      <c r="D17" s="37" t="s">
        <v>126</v>
      </c>
      <c r="E17" s="37" t="s">
        <v>142</v>
      </c>
      <c r="F17" s="37" t="s">
        <v>142</v>
      </c>
      <c r="G17" s="37" t="s">
        <v>30</v>
      </c>
      <c r="H17" s="37" t="s">
        <v>142</v>
      </c>
      <c r="I17" s="37" t="s">
        <v>205</v>
      </c>
      <c r="J17" s="37" t="s">
        <v>142</v>
      </c>
      <c r="K17" s="37" t="s">
        <v>126</v>
      </c>
      <c r="L17" s="36"/>
    </row>
    <row r="18" spans="1:12" ht="100.8" x14ac:dyDescent="0.3">
      <c r="A18" s="119" t="s">
        <v>36</v>
      </c>
      <c r="B18" s="119"/>
      <c r="C18" s="43" t="s">
        <v>258</v>
      </c>
      <c r="D18" s="43" t="s">
        <v>275</v>
      </c>
      <c r="E18" s="43" t="s">
        <v>210</v>
      </c>
      <c r="F18" s="43" t="s">
        <v>215</v>
      </c>
      <c r="G18" s="43" t="s">
        <v>259</v>
      </c>
      <c r="H18" s="43" t="s">
        <v>158</v>
      </c>
      <c r="I18" s="43" t="s">
        <v>240</v>
      </c>
      <c r="J18" s="43" t="s">
        <v>256</v>
      </c>
      <c r="K18" s="43" t="s">
        <v>497</v>
      </c>
      <c r="L18" s="36"/>
    </row>
    <row r="19" spans="1:12" ht="57.6" x14ac:dyDescent="0.3">
      <c r="A19" s="119" t="s">
        <v>37</v>
      </c>
      <c r="B19" s="119"/>
      <c r="C19" s="37" t="s">
        <v>100</v>
      </c>
      <c r="D19" s="37" t="s">
        <v>100</v>
      </c>
      <c r="E19" s="37" t="s">
        <v>146</v>
      </c>
      <c r="F19" s="43" t="s">
        <v>212</v>
      </c>
      <c r="G19" s="43" t="s">
        <v>229</v>
      </c>
      <c r="H19" s="37" t="s">
        <v>143</v>
      </c>
      <c r="I19" s="37" t="s">
        <v>146</v>
      </c>
      <c r="J19" s="37" t="s">
        <v>254</v>
      </c>
      <c r="K19" s="43" t="s">
        <v>615</v>
      </c>
      <c r="L19" s="36"/>
    </row>
    <row r="20" spans="1:12" x14ac:dyDescent="0.3">
      <c r="A20" s="122" t="s">
        <v>38</v>
      </c>
      <c r="B20" s="122"/>
      <c r="C20" s="37" t="s">
        <v>131</v>
      </c>
      <c r="D20" s="37" t="s">
        <v>115</v>
      </c>
      <c r="E20" s="37" t="s">
        <v>115</v>
      </c>
      <c r="F20" s="37" t="s">
        <v>108</v>
      </c>
      <c r="G20" s="37" t="s">
        <v>108</v>
      </c>
      <c r="H20" s="37" t="s">
        <v>115</v>
      </c>
      <c r="I20" s="37" t="s">
        <v>108</v>
      </c>
      <c r="J20" s="37" t="s">
        <v>108</v>
      </c>
      <c r="K20" s="37" t="s">
        <v>618</v>
      </c>
      <c r="L20" s="36"/>
    </row>
    <row r="21" spans="1:12" x14ac:dyDescent="0.3">
      <c r="A21" s="122" t="s">
        <v>27</v>
      </c>
      <c r="B21" s="122"/>
      <c r="C21" s="37">
        <v>5</v>
      </c>
      <c r="D21" s="37">
        <v>5</v>
      </c>
      <c r="E21" s="37">
        <v>4</v>
      </c>
      <c r="F21" s="37">
        <v>4</v>
      </c>
      <c r="G21" s="37">
        <v>3</v>
      </c>
      <c r="H21" s="37">
        <v>4</v>
      </c>
      <c r="I21" s="37">
        <v>4</v>
      </c>
      <c r="J21" s="37">
        <v>4</v>
      </c>
      <c r="K21" s="37">
        <v>5</v>
      </c>
      <c r="L21" s="36"/>
    </row>
    <row r="22" spans="1:12" x14ac:dyDescent="0.3">
      <c r="C22" s="35"/>
      <c r="D22" s="35"/>
      <c r="E22" s="35"/>
      <c r="F22" s="35"/>
      <c r="G22" s="35"/>
      <c r="H22" s="38"/>
      <c r="I22" s="35"/>
      <c r="J22" s="35"/>
      <c r="K22" s="35"/>
      <c r="L22" s="36"/>
    </row>
    <row r="23" spans="1:12" x14ac:dyDescent="0.3">
      <c r="A23" s="122" t="s">
        <v>2</v>
      </c>
      <c r="B23" s="122"/>
      <c r="C23" s="39" t="s">
        <v>108</v>
      </c>
      <c r="D23" s="39">
        <v>650379.56999999995</v>
      </c>
      <c r="E23" s="39" t="s">
        <v>108</v>
      </c>
      <c r="F23" s="39" t="s">
        <v>108</v>
      </c>
      <c r="G23" s="39" t="s">
        <v>108</v>
      </c>
      <c r="H23" s="40" t="s">
        <v>108</v>
      </c>
      <c r="I23" s="39" t="s">
        <v>108</v>
      </c>
      <c r="J23" s="39">
        <v>6500</v>
      </c>
      <c r="K23" s="70" t="s">
        <v>108</v>
      </c>
      <c r="L23" s="36"/>
    </row>
    <row r="24" spans="1:12" ht="43.2" x14ac:dyDescent="0.3">
      <c r="A24" s="122" t="s">
        <v>13</v>
      </c>
      <c r="B24" s="122"/>
      <c r="C24" s="39" t="s">
        <v>99</v>
      </c>
      <c r="D24" s="42">
        <v>112</v>
      </c>
      <c r="E24" s="41" t="s">
        <v>218</v>
      </c>
      <c r="F24" s="39" t="s">
        <v>108</v>
      </c>
      <c r="G24" s="41" t="s">
        <v>230</v>
      </c>
      <c r="H24" s="48" t="s">
        <v>105</v>
      </c>
      <c r="I24" s="39" t="s">
        <v>108</v>
      </c>
      <c r="J24" s="57" t="s">
        <v>255</v>
      </c>
      <c r="K24" s="57" t="s">
        <v>616</v>
      </c>
      <c r="L24" s="36"/>
    </row>
    <row r="25" spans="1:12" ht="28.8" x14ac:dyDescent="0.3">
      <c r="A25" s="122" t="s">
        <v>1</v>
      </c>
      <c r="B25" s="122"/>
      <c r="C25" s="39" t="s">
        <v>100</v>
      </c>
      <c r="D25" s="39" t="s">
        <v>199</v>
      </c>
      <c r="E25" s="41" t="s">
        <v>206</v>
      </c>
      <c r="F25" s="41" t="s">
        <v>216</v>
      </c>
      <c r="G25" s="41" t="s">
        <v>231</v>
      </c>
      <c r="H25" s="48" t="s">
        <v>101</v>
      </c>
      <c r="I25" s="41" t="s">
        <v>241</v>
      </c>
      <c r="J25" s="41" t="s">
        <v>249</v>
      </c>
      <c r="K25" s="41" t="s">
        <v>617</v>
      </c>
      <c r="L25" s="36"/>
    </row>
    <row r="26" spans="1:12" ht="43.2" x14ac:dyDescent="0.3">
      <c r="A26" s="122" t="s">
        <v>46</v>
      </c>
      <c r="B26" s="122"/>
      <c r="C26" s="41" t="s">
        <v>260</v>
      </c>
      <c r="D26" s="39" t="s">
        <v>108</v>
      </c>
      <c r="E26" s="39" t="s">
        <v>207</v>
      </c>
      <c r="F26" s="39" t="s">
        <v>108</v>
      </c>
      <c r="G26" s="39" t="s">
        <v>232</v>
      </c>
      <c r="H26" s="56" t="s">
        <v>236</v>
      </c>
      <c r="I26" s="39" t="s">
        <v>242</v>
      </c>
      <c r="J26" s="39" t="s">
        <v>250</v>
      </c>
      <c r="K26" s="70" t="s">
        <v>108</v>
      </c>
      <c r="L26" s="36"/>
    </row>
    <row r="27" spans="1:12" ht="28.8" x14ac:dyDescent="0.3">
      <c r="A27" s="130" t="s">
        <v>237</v>
      </c>
      <c r="B27" s="131"/>
      <c r="C27" s="70">
        <f>AVERAGE(80,180)</f>
        <v>130</v>
      </c>
      <c r="D27" s="70" t="s">
        <v>108</v>
      </c>
      <c r="E27" s="70">
        <f>AVERAGE(125,150)</f>
        <v>137.5</v>
      </c>
      <c r="F27" s="70" t="s">
        <v>108</v>
      </c>
      <c r="G27" s="70">
        <f>AVERAGE(90,150)</f>
        <v>120</v>
      </c>
      <c r="H27" s="98" t="s">
        <v>172</v>
      </c>
      <c r="I27" s="48">
        <f>AVERAGE(70,95)</f>
        <v>82.5</v>
      </c>
      <c r="J27" s="48">
        <v>110</v>
      </c>
      <c r="K27" s="70" t="s">
        <v>108</v>
      </c>
      <c r="L27" s="36"/>
    </row>
    <row r="28" spans="1:12" ht="43.2" x14ac:dyDescent="0.3">
      <c r="A28" s="133" t="s">
        <v>3</v>
      </c>
      <c r="B28" s="19" t="s">
        <v>39</v>
      </c>
      <c r="C28" s="98" t="s">
        <v>128</v>
      </c>
      <c r="D28" s="70">
        <f>5101.92*1.1</f>
        <v>5612.1120000000001</v>
      </c>
      <c r="E28" s="70">
        <v>5000</v>
      </c>
      <c r="F28" s="98" t="s">
        <v>217</v>
      </c>
      <c r="G28" s="70" t="s">
        <v>108</v>
      </c>
      <c r="H28" s="70" t="s">
        <v>108</v>
      </c>
      <c r="I28" s="48">
        <v>4300</v>
      </c>
      <c r="J28" s="74" t="s">
        <v>243</v>
      </c>
      <c r="K28" s="74">
        <v>6125.36</v>
      </c>
      <c r="L28" s="36"/>
    </row>
    <row r="29" spans="1:12" x14ac:dyDescent="0.3">
      <c r="A29" s="134"/>
      <c r="B29" s="19" t="s">
        <v>40</v>
      </c>
      <c r="C29" s="39" t="s">
        <v>108</v>
      </c>
      <c r="D29" s="48" t="s">
        <v>108</v>
      </c>
      <c r="E29" s="48" t="s">
        <v>108</v>
      </c>
      <c r="F29" s="39" t="s">
        <v>108</v>
      </c>
      <c r="G29" s="48" t="s">
        <v>108</v>
      </c>
      <c r="H29" s="39" t="s">
        <v>108</v>
      </c>
      <c r="I29" s="39" t="s">
        <v>108</v>
      </c>
      <c r="J29" s="74" t="s">
        <v>108</v>
      </c>
      <c r="K29" s="74">
        <v>6705.78</v>
      </c>
      <c r="L29" s="36"/>
    </row>
    <row r="30" spans="1:12" x14ac:dyDescent="0.3">
      <c r="A30" s="134"/>
      <c r="B30" s="19" t="s">
        <v>41</v>
      </c>
      <c r="C30" s="39" t="s">
        <v>108</v>
      </c>
      <c r="D30" s="39">
        <f>6400.92*1.1</f>
        <v>7041.0120000000006</v>
      </c>
      <c r="E30" s="39">
        <v>7000</v>
      </c>
      <c r="F30" s="39" t="s">
        <v>220</v>
      </c>
      <c r="G30" s="48" t="s">
        <v>108</v>
      </c>
      <c r="H30" s="70">
        <v>5500</v>
      </c>
      <c r="I30" s="70" t="s">
        <v>108</v>
      </c>
      <c r="J30" s="74" t="s">
        <v>108</v>
      </c>
      <c r="K30" s="74">
        <v>6863.36</v>
      </c>
      <c r="L30" s="36"/>
    </row>
    <row r="31" spans="1:12" x14ac:dyDescent="0.3">
      <c r="A31" s="134"/>
      <c r="B31" s="19" t="s">
        <v>42</v>
      </c>
      <c r="C31" s="39" t="s">
        <v>108</v>
      </c>
      <c r="D31" s="48" t="s">
        <v>108</v>
      </c>
      <c r="E31" s="48" t="s">
        <v>108</v>
      </c>
      <c r="F31" s="39" t="s">
        <v>108</v>
      </c>
      <c r="G31" s="48" t="s">
        <v>108</v>
      </c>
      <c r="H31" s="70" t="s">
        <v>108</v>
      </c>
      <c r="I31" s="70" t="s">
        <v>108</v>
      </c>
      <c r="J31" s="74" t="s">
        <v>108</v>
      </c>
      <c r="K31" s="74">
        <v>7513</v>
      </c>
      <c r="L31" s="36"/>
    </row>
    <row r="32" spans="1:12" x14ac:dyDescent="0.3">
      <c r="A32" s="134"/>
      <c r="B32" s="19" t="s">
        <v>97</v>
      </c>
      <c r="C32" s="39" t="s">
        <v>108</v>
      </c>
      <c r="D32" s="39">
        <f>6826.4*1.1</f>
        <v>7509.04</v>
      </c>
      <c r="E32" s="39">
        <v>8500</v>
      </c>
      <c r="F32" s="39" t="s">
        <v>221</v>
      </c>
      <c r="G32" s="48" t="s">
        <v>108</v>
      </c>
      <c r="H32" s="70" t="s">
        <v>108</v>
      </c>
      <c r="I32" s="70">
        <v>7000</v>
      </c>
      <c r="J32" s="74" t="s">
        <v>108</v>
      </c>
      <c r="K32" s="74">
        <v>7636</v>
      </c>
      <c r="L32" s="36"/>
    </row>
    <row r="33" spans="1:12" x14ac:dyDescent="0.3">
      <c r="A33" s="134"/>
      <c r="B33" s="19" t="s">
        <v>98</v>
      </c>
      <c r="C33" s="39" t="s">
        <v>108</v>
      </c>
      <c r="D33" s="48" t="s">
        <v>108</v>
      </c>
      <c r="E33" s="48" t="s">
        <v>108</v>
      </c>
      <c r="F33" s="74" t="s">
        <v>222</v>
      </c>
      <c r="G33" s="74" t="s">
        <v>108</v>
      </c>
      <c r="H33" s="74" t="s">
        <v>234</v>
      </c>
      <c r="I33" s="70" t="s">
        <v>108</v>
      </c>
      <c r="J33" s="74" t="s">
        <v>108</v>
      </c>
      <c r="K33" s="74">
        <v>7759</v>
      </c>
      <c r="L33" s="36"/>
    </row>
    <row r="34" spans="1:12" x14ac:dyDescent="0.3">
      <c r="A34" s="134"/>
      <c r="B34" s="19" t="s">
        <v>43</v>
      </c>
      <c r="C34" s="39" t="s">
        <v>108</v>
      </c>
      <c r="D34" s="39">
        <f>9773.01*1.1</f>
        <v>10750.311000000002</v>
      </c>
      <c r="E34" s="39">
        <v>11000</v>
      </c>
      <c r="F34" s="74" t="s">
        <v>223</v>
      </c>
      <c r="G34" s="74" t="s">
        <v>108</v>
      </c>
      <c r="H34" s="74" t="s">
        <v>108</v>
      </c>
      <c r="I34" s="70" t="s">
        <v>108</v>
      </c>
      <c r="J34" s="74" t="s">
        <v>223</v>
      </c>
      <c r="K34" s="74">
        <v>8896.76</v>
      </c>
      <c r="L34" s="36"/>
    </row>
    <row r="35" spans="1:12" x14ac:dyDescent="0.3">
      <c r="A35" s="134"/>
      <c r="B35" s="19" t="s">
        <v>44</v>
      </c>
      <c r="C35" s="39" t="s">
        <v>108</v>
      </c>
      <c r="D35" s="48" t="s">
        <v>108</v>
      </c>
      <c r="E35" s="48" t="s">
        <v>108</v>
      </c>
      <c r="F35" s="74" t="s">
        <v>224</v>
      </c>
      <c r="G35" s="74" t="s">
        <v>108</v>
      </c>
      <c r="H35" s="74" t="s">
        <v>235</v>
      </c>
      <c r="I35" s="70" t="s">
        <v>244</v>
      </c>
      <c r="J35" s="39" t="s">
        <v>108</v>
      </c>
      <c r="K35" s="74">
        <v>12064.02</v>
      </c>
      <c r="L35" s="36"/>
    </row>
    <row r="36" spans="1:12" ht="28.8" x14ac:dyDescent="0.3">
      <c r="A36" s="135"/>
      <c r="B36" s="19" t="s">
        <v>45</v>
      </c>
      <c r="C36" s="39" t="s">
        <v>108</v>
      </c>
      <c r="D36" s="39">
        <f>10066.2*1.1</f>
        <v>11072.820000000002</v>
      </c>
      <c r="E36" s="48" t="s">
        <v>108</v>
      </c>
      <c r="F36" s="39" t="s">
        <v>225</v>
      </c>
      <c r="G36" s="48" t="s">
        <v>108</v>
      </c>
      <c r="H36" s="70" t="s">
        <v>108</v>
      </c>
      <c r="I36" s="98" t="s">
        <v>245</v>
      </c>
      <c r="J36" s="39" t="s">
        <v>108</v>
      </c>
      <c r="K36" s="74">
        <v>10034.51</v>
      </c>
      <c r="L36" s="36"/>
    </row>
    <row r="37" spans="1:12" x14ac:dyDescent="0.3">
      <c r="C37" s="35"/>
      <c r="D37" s="35"/>
      <c r="E37" s="35"/>
      <c r="F37" s="35"/>
      <c r="G37" s="35"/>
      <c r="H37" s="35"/>
      <c r="I37" s="35"/>
      <c r="J37" s="35"/>
      <c r="K37" s="35"/>
      <c r="L37" s="36"/>
    </row>
    <row r="38" spans="1:12" ht="158.4" x14ac:dyDescent="0.3">
      <c r="A38" s="122" t="s">
        <v>68</v>
      </c>
      <c r="B38" s="122"/>
      <c r="C38" s="40" t="s">
        <v>129</v>
      </c>
      <c r="D38" s="40" t="s">
        <v>201</v>
      </c>
      <c r="E38" s="40" t="s">
        <v>108</v>
      </c>
      <c r="F38" s="40" t="s">
        <v>226</v>
      </c>
      <c r="G38" s="40" t="s">
        <v>226</v>
      </c>
      <c r="H38" s="40" t="s">
        <v>238</v>
      </c>
      <c r="I38" s="40" t="s">
        <v>108</v>
      </c>
      <c r="J38" s="40" t="s">
        <v>251</v>
      </c>
      <c r="K38" s="40" t="s">
        <v>108</v>
      </c>
      <c r="L38" s="36"/>
    </row>
    <row r="39" spans="1:12" ht="115.2" x14ac:dyDescent="0.3">
      <c r="A39" s="122" t="s">
        <v>69</v>
      </c>
      <c r="B39" s="122"/>
      <c r="C39" s="40" t="s">
        <v>133</v>
      </c>
      <c r="D39" s="46" t="s">
        <v>262</v>
      </c>
      <c r="E39" s="40" t="s">
        <v>209</v>
      </c>
      <c r="F39" s="40" t="s">
        <v>219</v>
      </c>
      <c r="G39" s="40" t="s">
        <v>233</v>
      </c>
      <c r="H39" s="40" t="s">
        <v>108</v>
      </c>
      <c r="I39" s="40" t="s">
        <v>246</v>
      </c>
      <c r="J39" s="40" t="s">
        <v>252</v>
      </c>
      <c r="K39" s="40" t="s">
        <v>619</v>
      </c>
      <c r="L39" s="36"/>
    </row>
    <row r="40" spans="1:12" ht="244.8" x14ac:dyDescent="0.3">
      <c r="A40" s="122" t="s">
        <v>70</v>
      </c>
      <c r="B40" s="122"/>
      <c r="C40" s="40" t="s">
        <v>130</v>
      </c>
      <c r="D40" s="40" t="s">
        <v>202</v>
      </c>
      <c r="E40" s="40" t="s">
        <v>453</v>
      </c>
      <c r="F40" s="40" t="s">
        <v>227</v>
      </c>
      <c r="G40" s="40" t="s">
        <v>454</v>
      </c>
      <c r="H40" s="40" t="s">
        <v>239</v>
      </c>
      <c r="I40" s="40" t="s">
        <v>247</v>
      </c>
      <c r="J40" s="40" t="s">
        <v>277</v>
      </c>
      <c r="K40" s="40" t="s">
        <v>620</v>
      </c>
      <c r="L40" s="36"/>
    </row>
    <row r="41" spans="1:12" ht="172.8" x14ac:dyDescent="0.3">
      <c r="A41" s="122" t="s">
        <v>71</v>
      </c>
      <c r="B41" s="122"/>
      <c r="C41" s="40" t="s">
        <v>108</v>
      </c>
      <c r="D41" s="40" t="s">
        <v>204</v>
      </c>
      <c r="E41" s="40" t="s">
        <v>211</v>
      </c>
      <c r="F41" s="40" t="s">
        <v>228</v>
      </c>
      <c r="G41" s="40" t="s">
        <v>108</v>
      </c>
      <c r="H41" s="40" t="s">
        <v>108</v>
      </c>
      <c r="I41" s="40" t="s">
        <v>108</v>
      </c>
      <c r="J41" s="40" t="s">
        <v>253</v>
      </c>
      <c r="K41" s="40" t="s">
        <v>621</v>
      </c>
      <c r="L41" s="36"/>
    </row>
    <row r="42" spans="1:12" ht="172.8" x14ac:dyDescent="0.3">
      <c r="A42" s="132" t="s">
        <v>803</v>
      </c>
      <c r="B42" s="122"/>
      <c r="C42" s="40" t="s">
        <v>108</v>
      </c>
      <c r="D42" s="46" t="s">
        <v>203</v>
      </c>
      <c r="E42" s="46" t="s">
        <v>208</v>
      </c>
      <c r="F42" s="40" t="s">
        <v>108</v>
      </c>
      <c r="G42" s="40" t="s">
        <v>108</v>
      </c>
      <c r="H42" s="40" t="s">
        <v>108</v>
      </c>
      <c r="I42" s="40" t="s">
        <v>108</v>
      </c>
      <c r="J42" s="40" t="s">
        <v>108</v>
      </c>
      <c r="K42" s="40" t="s">
        <v>622</v>
      </c>
      <c r="L42" s="36"/>
    </row>
    <row r="43" spans="1:12" ht="28.8" x14ac:dyDescent="0.3">
      <c r="A43" s="122" t="s">
        <v>73</v>
      </c>
      <c r="B43" s="122"/>
      <c r="C43" s="40" t="s">
        <v>127</v>
      </c>
      <c r="D43" s="40" t="s">
        <v>108</v>
      </c>
      <c r="E43" s="40" t="s">
        <v>108</v>
      </c>
      <c r="F43" s="40" t="s">
        <v>108</v>
      </c>
      <c r="G43" s="40" t="s">
        <v>108</v>
      </c>
      <c r="H43" s="40" t="s">
        <v>108</v>
      </c>
      <c r="I43" s="40" t="s">
        <v>108</v>
      </c>
      <c r="J43" s="40" t="s">
        <v>108</v>
      </c>
      <c r="K43" s="40" t="s">
        <v>108</v>
      </c>
      <c r="L43" s="36"/>
    </row>
    <row r="44" spans="1:12" ht="331.2" x14ac:dyDescent="0.3">
      <c r="A44" s="122" t="s">
        <v>74</v>
      </c>
      <c r="B44" s="122"/>
      <c r="C44" s="40" t="s">
        <v>108</v>
      </c>
      <c r="D44" s="40" t="s">
        <v>274</v>
      </c>
      <c r="E44" s="40" t="s">
        <v>200</v>
      </c>
      <c r="F44" s="40" t="s">
        <v>282</v>
      </c>
      <c r="G44" s="40" t="s">
        <v>108</v>
      </c>
      <c r="H44" s="40" t="s">
        <v>108</v>
      </c>
      <c r="I44" s="40" t="s">
        <v>108</v>
      </c>
      <c r="J44" s="40" t="s">
        <v>283</v>
      </c>
      <c r="K44" s="40" t="s">
        <v>108</v>
      </c>
      <c r="L44" s="36"/>
    </row>
  </sheetData>
  <mergeCells count="24">
    <mergeCell ref="A27:B27"/>
    <mergeCell ref="A21:B21"/>
    <mergeCell ref="A43:B43"/>
    <mergeCell ref="A44:B44"/>
    <mergeCell ref="A39:B39"/>
    <mergeCell ref="A24:B24"/>
    <mergeCell ref="A25:B25"/>
    <mergeCell ref="A26:B26"/>
    <mergeCell ref="A28:A36"/>
    <mergeCell ref="A38:B38"/>
    <mergeCell ref="A40:B40"/>
    <mergeCell ref="A41:B41"/>
    <mergeCell ref="A42:B42"/>
    <mergeCell ref="A17:B17"/>
    <mergeCell ref="A18:B18"/>
    <mergeCell ref="A19:B19"/>
    <mergeCell ref="A20:B20"/>
    <mergeCell ref="A23:B23"/>
    <mergeCell ref="A4:B4"/>
    <mergeCell ref="C4:E4"/>
    <mergeCell ref="G4:G14"/>
    <mergeCell ref="H4:H14"/>
    <mergeCell ref="A5:B5"/>
    <mergeCell ref="A6:A1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N44"/>
  <sheetViews>
    <sheetView zoomScale="60" zoomScaleNormal="60" workbookViewId="0">
      <selection activeCell="K21" sqref="K21:K31"/>
    </sheetView>
  </sheetViews>
  <sheetFormatPr defaultColWidth="9.109375" defaultRowHeight="14.4" x14ac:dyDescent="0.3"/>
  <cols>
    <col min="1" max="1" width="11.109375" style="1" customWidth="1"/>
    <col min="2" max="2" width="45.33203125" style="1" customWidth="1"/>
    <col min="3" max="7" width="16.6640625" style="1" customWidth="1"/>
    <col min="8" max="12" width="16.44140625" style="1" customWidth="1"/>
    <col min="13" max="14" width="9.109375" style="1" customWidth="1"/>
    <col min="15" max="16384" width="9.109375" style="1"/>
  </cols>
  <sheetData>
    <row r="1" spans="1:11" x14ac:dyDescent="0.3">
      <c r="A1" s="24" t="s">
        <v>76</v>
      </c>
      <c r="B1" s="25"/>
    </row>
    <row r="2" spans="1:11" ht="48" customHeight="1" x14ac:dyDescent="0.3">
      <c r="A2" s="21" t="s">
        <v>33</v>
      </c>
    </row>
    <row r="3" spans="1:11" ht="43.2" x14ac:dyDescent="0.3">
      <c r="C3" s="14" t="s">
        <v>28</v>
      </c>
      <c r="D3" s="14" t="s">
        <v>30</v>
      </c>
      <c r="E3" s="14" t="s">
        <v>29</v>
      </c>
      <c r="F3" s="14" t="s">
        <v>124</v>
      </c>
      <c r="G3" s="14" t="s">
        <v>31</v>
      </c>
      <c r="H3" s="14" t="s">
        <v>32</v>
      </c>
    </row>
    <row r="4" spans="1:11" x14ac:dyDescent="0.3">
      <c r="A4" s="119" t="s">
        <v>34</v>
      </c>
      <c r="B4" s="119"/>
      <c r="C4" s="136" t="s">
        <v>307</v>
      </c>
      <c r="D4" s="137"/>
      <c r="E4" s="138"/>
      <c r="F4" s="44">
        <v>9</v>
      </c>
      <c r="G4" s="123" t="s">
        <v>373</v>
      </c>
      <c r="H4" s="123" t="s">
        <v>635</v>
      </c>
    </row>
    <row r="5" spans="1:11" x14ac:dyDescent="0.3">
      <c r="A5" s="119" t="s">
        <v>46</v>
      </c>
      <c r="B5" s="119"/>
      <c r="C5" s="70">
        <v>5</v>
      </c>
      <c r="D5" s="70">
        <f>AVERAGE(C5,E5)</f>
        <v>5.5</v>
      </c>
      <c r="E5" s="85">
        <v>6</v>
      </c>
      <c r="F5" s="44">
        <v>1</v>
      </c>
      <c r="G5" s="124"/>
      <c r="H5" s="124"/>
    </row>
    <row r="6" spans="1:11" x14ac:dyDescent="0.3">
      <c r="A6" s="129" t="s">
        <v>3</v>
      </c>
      <c r="B6" s="19" t="s">
        <v>39</v>
      </c>
      <c r="C6" s="48">
        <f>D27</f>
        <v>300</v>
      </c>
      <c r="D6" s="48">
        <f>ROUND(AVERAGE(D27,G27,H27,I27,J27,K27),-1)</f>
        <v>380</v>
      </c>
      <c r="E6" s="47">
        <f t="shared" ref="E6:E11" si="0">ROUND(K27,-1)</f>
        <v>630</v>
      </c>
      <c r="F6" s="44">
        <v>6</v>
      </c>
      <c r="G6" s="124"/>
      <c r="H6" s="124"/>
    </row>
    <row r="7" spans="1:11" x14ac:dyDescent="0.3">
      <c r="A7" s="129"/>
      <c r="B7" s="19" t="s">
        <v>40</v>
      </c>
      <c r="C7" s="48">
        <v>350</v>
      </c>
      <c r="D7" s="48">
        <f>ROUND(AVERAGE(375,350,425,410,400,K28),-1)</f>
        <v>430</v>
      </c>
      <c r="E7" s="69">
        <f t="shared" si="0"/>
        <v>640</v>
      </c>
      <c r="F7" s="44">
        <v>6</v>
      </c>
      <c r="G7" s="124"/>
      <c r="H7" s="124"/>
    </row>
    <row r="8" spans="1:11" x14ac:dyDescent="0.3">
      <c r="A8" s="129"/>
      <c r="B8" s="19" t="s">
        <v>41</v>
      </c>
      <c r="C8" s="48">
        <f>H29</f>
        <v>350</v>
      </c>
      <c r="D8" s="48">
        <f>ROUND(AVERAGE(376,450,H29,K29),-1)</f>
        <v>460</v>
      </c>
      <c r="E8" s="69">
        <f t="shared" si="0"/>
        <v>660</v>
      </c>
      <c r="F8" s="44">
        <v>4</v>
      </c>
      <c r="G8" s="124"/>
      <c r="H8" s="124"/>
    </row>
    <row r="9" spans="1:11" x14ac:dyDescent="0.3">
      <c r="A9" s="129"/>
      <c r="B9" s="19" t="s">
        <v>42</v>
      </c>
      <c r="C9" s="48">
        <f>D30</f>
        <v>450</v>
      </c>
      <c r="D9" s="48">
        <f>AVERAGE(D30,450,H30,K30)</f>
        <v>504.94499999999999</v>
      </c>
      <c r="E9" s="69">
        <f t="shared" si="0"/>
        <v>670</v>
      </c>
      <c r="F9" s="44">
        <v>4</v>
      </c>
      <c r="G9" s="124"/>
      <c r="H9" s="124"/>
    </row>
    <row r="10" spans="1:11" x14ac:dyDescent="0.3">
      <c r="A10" s="129"/>
      <c r="B10" s="19" t="s">
        <v>97</v>
      </c>
      <c r="C10" s="48">
        <f>H31</f>
        <v>480</v>
      </c>
      <c r="D10" s="48">
        <f>AVERAGE(D31,G31,H31,I31,K31)</f>
        <v>528.98</v>
      </c>
      <c r="E10" s="69">
        <f t="shared" si="0"/>
        <v>660</v>
      </c>
      <c r="F10" s="44">
        <v>5</v>
      </c>
      <c r="G10" s="124"/>
      <c r="H10" s="124"/>
    </row>
    <row r="11" spans="1:11" x14ac:dyDescent="0.3">
      <c r="A11" s="129"/>
      <c r="B11" s="19" t="s">
        <v>98</v>
      </c>
      <c r="C11" s="48">
        <f>H32</f>
        <v>600</v>
      </c>
      <c r="D11" s="48">
        <f>ROUND(AVERAGE(625,650,G32,H32,J32,K32),-1)</f>
        <v>660</v>
      </c>
      <c r="E11" s="69">
        <f t="shared" si="0"/>
        <v>690</v>
      </c>
      <c r="F11" s="44">
        <v>6</v>
      </c>
      <c r="G11" s="124"/>
      <c r="H11" s="124"/>
    </row>
    <row r="12" spans="1:11" x14ac:dyDescent="0.3">
      <c r="A12" s="129"/>
      <c r="B12" s="19" t="s">
        <v>43</v>
      </c>
      <c r="C12" s="48">
        <v>550</v>
      </c>
      <c r="D12" s="48">
        <f>ROUND(AVERAGE(775,575,H33),-1)</f>
        <v>680</v>
      </c>
      <c r="E12" s="47">
        <v>800</v>
      </c>
      <c r="F12" s="57">
        <v>3</v>
      </c>
      <c r="G12" s="124"/>
      <c r="H12" s="124"/>
    </row>
    <row r="13" spans="1:11" x14ac:dyDescent="0.3">
      <c r="A13" s="129"/>
      <c r="B13" s="19" t="s">
        <v>44</v>
      </c>
      <c r="C13" s="48">
        <v>750</v>
      </c>
      <c r="D13" s="48">
        <f>ROUND(AVERAGE(1100,1000,775,H34,I34,J34),-1)</f>
        <v>950</v>
      </c>
      <c r="E13" s="47">
        <v>1200</v>
      </c>
      <c r="F13" s="57">
        <v>6</v>
      </c>
      <c r="G13" s="124"/>
      <c r="H13" s="124"/>
    </row>
    <row r="14" spans="1:11" x14ac:dyDescent="0.3">
      <c r="A14" s="129"/>
      <c r="B14" s="19" t="s">
        <v>45</v>
      </c>
      <c r="C14" s="48">
        <f>I35</f>
        <v>500</v>
      </c>
      <c r="D14" s="48">
        <f>ROUND(AVERAGE(D35,E35,575,H35,I35,J35,K35),-1)</f>
        <v>650</v>
      </c>
      <c r="E14" s="47">
        <f>E35</f>
        <v>750</v>
      </c>
      <c r="F14" s="44">
        <v>7</v>
      </c>
      <c r="G14" s="125"/>
      <c r="H14" s="125"/>
    </row>
    <row r="15" spans="1:11" ht="44.25" customHeight="1" x14ac:dyDescent="0.3">
      <c r="A15" s="21" t="s">
        <v>49</v>
      </c>
      <c r="C15" s="58">
        <v>1</v>
      </c>
      <c r="D15" s="58">
        <v>7</v>
      </c>
      <c r="E15" s="58">
        <v>9</v>
      </c>
      <c r="F15" s="58">
        <v>10</v>
      </c>
      <c r="G15" s="58">
        <v>12</v>
      </c>
      <c r="H15" s="58">
        <v>17</v>
      </c>
      <c r="I15" s="58">
        <v>19</v>
      </c>
      <c r="J15" s="58">
        <v>21</v>
      </c>
      <c r="K15" s="58">
        <v>53</v>
      </c>
    </row>
    <row r="16" spans="1:11" x14ac:dyDescent="0.3">
      <c r="B16" s="12" t="s">
        <v>26</v>
      </c>
      <c r="C16" s="17">
        <v>1</v>
      </c>
      <c r="D16" s="17">
        <v>2</v>
      </c>
      <c r="E16" s="17">
        <v>3</v>
      </c>
      <c r="F16" s="17">
        <v>4</v>
      </c>
      <c r="G16" s="17">
        <v>5</v>
      </c>
      <c r="H16" s="17">
        <v>6</v>
      </c>
      <c r="I16" s="17">
        <v>7</v>
      </c>
      <c r="J16" s="17">
        <v>8</v>
      </c>
      <c r="K16" s="17">
        <v>9</v>
      </c>
    </row>
    <row r="17" spans="1:12" ht="28.8" x14ac:dyDescent="0.3">
      <c r="A17" s="119" t="s">
        <v>35</v>
      </c>
      <c r="B17" s="119"/>
      <c r="C17" s="43" t="s">
        <v>126</v>
      </c>
      <c r="D17" s="43" t="s">
        <v>142</v>
      </c>
      <c r="E17" s="43" t="s">
        <v>328</v>
      </c>
      <c r="F17" s="37" t="s">
        <v>142</v>
      </c>
      <c r="G17" s="43" t="s">
        <v>142</v>
      </c>
      <c r="H17" s="43" t="s">
        <v>142</v>
      </c>
      <c r="I17" s="37" t="s">
        <v>288</v>
      </c>
      <c r="J17" s="37" t="s">
        <v>205</v>
      </c>
      <c r="K17" s="37" t="s">
        <v>126</v>
      </c>
    </row>
    <row r="18" spans="1:12" ht="100.8" x14ac:dyDescent="0.3">
      <c r="A18" s="119" t="s">
        <v>36</v>
      </c>
      <c r="B18" s="119"/>
      <c r="C18" s="43" t="s">
        <v>258</v>
      </c>
      <c r="D18" s="43" t="s">
        <v>310</v>
      </c>
      <c r="E18" s="43" t="s">
        <v>308</v>
      </c>
      <c r="F18" s="43" t="s">
        <v>158</v>
      </c>
      <c r="G18" s="43" t="s">
        <v>341</v>
      </c>
      <c r="H18" s="43" t="s">
        <v>353</v>
      </c>
      <c r="I18" s="37" t="s">
        <v>290</v>
      </c>
      <c r="J18" s="43" t="s">
        <v>240</v>
      </c>
      <c r="K18" s="43" t="s">
        <v>497</v>
      </c>
    </row>
    <row r="19" spans="1:12" ht="57.6" x14ac:dyDescent="0.3">
      <c r="A19" s="119" t="s">
        <v>37</v>
      </c>
      <c r="B19" s="119"/>
      <c r="C19" s="43" t="s">
        <v>100</v>
      </c>
      <c r="D19" s="43" t="s">
        <v>309</v>
      </c>
      <c r="E19" s="43" t="s">
        <v>254</v>
      </c>
      <c r="F19" s="37" t="s">
        <v>143</v>
      </c>
      <c r="G19" s="43" t="s">
        <v>339</v>
      </c>
      <c r="H19" s="43" t="s">
        <v>108</v>
      </c>
      <c r="I19" s="43" t="s">
        <v>340</v>
      </c>
      <c r="J19" s="37" t="s">
        <v>146</v>
      </c>
      <c r="K19" s="43" t="s">
        <v>254</v>
      </c>
    </row>
    <row r="20" spans="1:12" x14ac:dyDescent="0.3">
      <c r="A20" s="122" t="s">
        <v>38</v>
      </c>
      <c r="B20" s="122"/>
      <c r="C20" s="43" t="s">
        <v>131</v>
      </c>
      <c r="D20" s="43" t="s">
        <v>108</v>
      </c>
      <c r="E20" s="43" t="s">
        <v>108</v>
      </c>
      <c r="F20" s="37" t="s">
        <v>115</v>
      </c>
      <c r="G20" s="43" t="s">
        <v>343</v>
      </c>
      <c r="H20" s="43" t="s">
        <v>115</v>
      </c>
      <c r="I20" s="37" t="s">
        <v>108</v>
      </c>
      <c r="J20" s="37" t="s">
        <v>108</v>
      </c>
      <c r="K20" s="37" t="s">
        <v>108</v>
      </c>
    </row>
    <row r="21" spans="1:12" x14ac:dyDescent="0.3">
      <c r="A21" s="122" t="s">
        <v>27</v>
      </c>
      <c r="B21" s="122"/>
      <c r="C21" s="37">
        <v>5</v>
      </c>
      <c r="D21" s="37">
        <v>5</v>
      </c>
      <c r="E21" s="37">
        <v>4</v>
      </c>
      <c r="F21" s="37">
        <v>4</v>
      </c>
      <c r="G21" s="37">
        <v>4</v>
      </c>
      <c r="H21" s="37">
        <v>4</v>
      </c>
      <c r="I21" s="37">
        <v>3</v>
      </c>
      <c r="J21" s="37">
        <v>4</v>
      </c>
      <c r="K21" s="37">
        <v>5</v>
      </c>
      <c r="L21" s="36"/>
    </row>
    <row r="22" spans="1:12" x14ac:dyDescent="0.3">
      <c r="C22" s="59"/>
      <c r="D22" s="60"/>
      <c r="E22" s="60"/>
      <c r="F22" s="16"/>
      <c r="G22" s="60"/>
      <c r="H22" s="60"/>
      <c r="I22" s="38"/>
      <c r="J22" s="60"/>
      <c r="K22" s="60"/>
    </row>
    <row r="23" spans="1:12" x14ac:dyDescent="0.3">
      <c r="A23" s="122" t="s">
        <v>2</v>
      </c>
      <c r="B23" s="122"/>
      <c r="C23" s="41" t="s">
        <v>108</v>
      </c>
      <c r="D23" s="41" t="s">
        <v>108</v>
      </c>
      <c r="E23" s="41" t="s">
        <v>108</v>
      </c>
      <c r="F23" s="48" t="s">
        <v>108</v>
      </c>
      <c r="G23" s="41">
        <v>500</v>
      </c>
      <c r="H23" s="41">
        <v>540</v>
      </c>
      <c r="I23" s="48" t="s">
        <v>108</v>
      </c>
      <c r="J23" s="41" t="s">
        <v>108</v>
      </c>
      <c r="K23" s="98" t="s">
        <v>108</v>
      </c>
    </row>
    <row r="24" spans="1:12" ht="57.6" x14ac:dyDescent="0.3">
      <c r="A24" s="122" t="s">
        <v>13</v>
      </c>
      <c r="B24" s="122"/>
      <c r="C24" s="41" t="s">
        <v>265</v>
      </c>
      <c r="D24" s="41" t="s">
        <v>108</v>
      </c>
      <c r="E24" s="63">
        <v>7000</v>
      </c>
      <c r="F24" s="48" t="s">
        <v>105</v>
      </c>
      <c r="G24" s="41" t="s">
        <v>344</v>
      </c>
      <c r="H24" s="41" t="s">
        <v>248</v>
      </c>
      <c r="I24" s="48" t="s">
        <v>108</v>
      </c>
      <c r="J24" s="41" t="s">
        <v>108</v>
      </c>
      <c r="K24" s="98" t="s">
        <v>629</v>
      </c>
    </row>
    <row r="25" spans="1:12" ht="39.6" customHeight="1" x14ac:dyDescent="0.3">
      <c r="A25" s="122" t="s">
        <v>1</v>
      </c>
      <c r="B25" s="122"/>
      <c r="C25" s="41" t="s">
        <v>100</v>
      </c>
      <c r="D25" s="41" t="s">
        <v>311</v>
      </c>
      <c r="E25" s="41" t="s">
        <v>329</v>
      </c>
      <c r="F25" s="48" t="s">
        <v>101</v>
      </c>
      <c r="G25" s="41" t="s">
        <v>342</v>
      </c>
      <c r="H25" s="41" t="s">
        <v>101</v>
      </c>
      <c r="I25" s="48" t="s">
        <v>287</v>
      </c>
      <c r="J25" s="41" t="s">
        <v>367</v>
      </c>
      <c r="K25" s="98" t="s">
        <v>628</v>
      </c>
    </row>
    <row r="26" spans="1:12" x14ac:dyDescent="0.3">
      <c r="A26" s="122" t="s">
        <v>46</v>
      </c>
      <c r="B26" s="122"/>
      <c r="C26" s="41" t="s">
        <v>266</v>
      </c>
      <c r="D26" s="41" t="s">
        <v>108</v>
      </c>
      <c r="E26" s="41" t="s">
        <v>108</v>
      </c>
      <c r="F26" s="41" t="s">
        <v>108</v>
      </c>
      <c r="G26" s="41" t="s">
        <v>108</v>
      </c>
      <c r="H26" s="41" t="s">
        <v>108</v>
      </c>
      <c r="I26" s="41" t="s">
        <v>108</v>
      </c>
      <c r="J26" s="41" t="s">
        <v>108</v>
      </c>
      <c r="K26" s="98" t="s">
        <v>108</v>
      </c>
    </row>
    <row r="27" spans="1:12" x14ac:dyDescent="0.3">
      <c r="A27" s="133" t="s">
        <v>3</v>
      </c>
      <c r="B27" s="19" t="s">
        <v>39</v>
      </c>
      <c r="C27" s="41" t="s">
        <v>108</v>
      </c>
      <c r="D27" s="41">
        <v>300</v>
      </c>
      <c r="E27" s="41" t="s">
        <v>108</v>
      </c>
      <c r="F27" s="41" t="s">
        <v>108</v>
      </c>
      <c r="G27" s="41">
        <v>300</v>
      </c>
      <c r="H27" s="41">
        <v>300</v>
      </c>
      <c r="I27" s="41">
        <v>400</v>
      </c>
      <c r="J27" s="41">
        <v>360</v>
      </c>
      <c r="K27" s="98">
        <v>633.17999999999995</v>
      </c>
    </row>
    <row r="28" spans="1:12" x14ac:dyDescent="0.3">
      <c r="A28" s="134"/>
      <c r="B28" s="19" t="s">
        <v>40</v>
      </c>
      <c r="C28" s="41" t="s">
        <v>108</v>
      </c>
      <c r="D28" s="41" t="s">
        <v>312</v>
      </c>
      <c r="E28" s="41">
        <v>350</v>
      </c>
      <c r="F28" s="41" t="s">
        <v>108</v>
      </c>
      <c r="G28" s="41" t="s">
        <v>345</v>
      </c>
      <c r="H28" s="41" t="s">
        <v>355</v>
      </c>
      <c r="I28" s="41">
        <v>400</v>
      </c>
      <c r="J28" s="41" t="s">
        <v>108</v>
      </c>
      <c r="K28" s="98">
        <v>641.72</v>
      </c>
    </row>
    <row r="29" spans="1:12" x14ac:dyDescent="0.3">
      <c r="A29" s="134"/>
      <c r="B29" s="19" t="s">
        <v>41</v>
      </c>
      <c r="C29" s="41" t="s">
        <v>108</v>
      </c>
      <c r="D29" s="41" t="s">
        <v>312</v>
      </c>
      <c r="E29" s="41"/>
      <c r="F29" s="41" t="s">
        <v>108</v>
      </c>
      <c r="G29" s="41" t="s">
        <v>346</v>
      </c>
      <c r="H29" s="41">
        <v>350</v>
      </c>
      <c r="I29" s="41" t="s">
        <v>108</v>
      </c>
      <c r="J29" s="41" t="s">
        <v>108</v>
      </c>
      <c r="K29" s="98">
        <v>656.36</v>
      </c>
    </row>
    <row r="30" spans="1:12" x14ac:dyDescent="0.3">
      <c r="A30" s="134"/>
      <c r="B30" s="19" t="s">
        <v>42</v>
      </c>
      <c r="C30" s="41" t="s">
        <v>108</v>
      </c>
      <c r="D30" s="41">
        <v>450</v>
      </c>
      <c r="E30" s="41"/>
      <c r="F30" s="41" t="s">
        <v>108</v>
      </c>
      <c r="G30" s="41" t="s">
        <v>346</v>
      </c>
      <c r="H30" s="41">
        <v>450</v>
      </c>
      <c r="I30" s="41" t="s">
        <v>108</v>
      </c>
      <c r="J30" s="41" t="s">
        <v>108</v>
      </c>
      <c r="K30" s="98">
        <v>669.78</v>
      </c>
    </row>
    <row r="31" spans="1:12" x14ac:dyDescent="0.3">
      <c r="A31" s="134"/>
      <c r="B31" s="19" t="s">
        <v>97</v>
      </c>
      <c r="C31" s="41" t="s">
        <v>108</v>
      </c>
      <c r="D31" s="41">
        <v>500</v>
      </c>
      <c r="E31" s="41"/>
      <c r="F31" s="41" t="s">
        <v>108</v>
      </c>
      <c r="G31" s="41">
        <v>500</v>
      </c>
      <c r="H31" s="41">
        <v>480</v>
      </c>
      <c r="I31" s="41">
        <v>500</v>
      </c>
      <c r="J31" s="41" t="s">
        <v>108</v>
      </c>
      <c r="K31" s="98">
        <v>664.9</v>
      </c>
    </row>
    <row r="32" spans="1:12" ht="28.8" x14ac:dyDescent="0.3">
      <c r="A32" s="134"/>
      <c r="B32" s="19" t="s">
        <v>98</v>
      </c>
      <c r="C32" s="41" t="s">
        <v>108</v>
      </c>
      <c r="D32" s="41" t="s">
        <v>313</v>
      </c>
      <c r="E32" s="41" t="s">
        <v>330</v>
      </c>
      <c r="F32" s="41" t="s">
        <v>108</v>
      </c>
      <c r="G32" s="41">
        <v>650</v>
      </c>
      <c r="H32" s="41">
        <v>600</v>
      </c>
      <c r="I32" s="41" t="s">
        <v>108</v>
      </c>
      <c r="J32" s="41">
        <v>720</v>
      </c>
      <c r="K32" s="41">
        <v>686.86</v>
      </c>
    </row>
    <row r="33" spans="1:14" x14ac:dyDescent="0.3">
      <c r="A33" s="134"/>
      <c r="B33" s="19" t="s">
        <v>43</v>
      </c>
      <c r="C33" s="48" t="s">
        <v>108</v>
      </c>
      <c r="D33" s="41" t="s">
        <v>314</v>
      </c>
      <c r="E33" s="41" t="s">
        <v>108</v>
      </c>
      <c r="F33" s="41" t="s">
        <v>108</v>
      </c>
      <c r="G33" s="41" t="s">
        <v>347</v>
      </c>
      <c r="H33" s="41">
        <v>700</v>
      </c>
      <c r="I33" s="41" t="s">
        <v>108</v>
      </c>
      <c r="J33" s="41" t="s">
        <v>108</v>
      </c>
      <c r="K33" s="41" t="s">
        <v>108</v>
      </c>
      <c r="M33" s="36"/>
      <c r="N33" s="36"/>
    </row>
    <row r="34" spans="1:14" x14ac:dyDescent="0.3">
      <c r="A34" s="134"/>
      <c r="B34" s="19" t="s">
        <v>44</v>
      </c>
      <c r="C34" s="48" t="s">
        <v>108</v>
      </c>
      <c r="D34" s="41" t="s">
        <v>315</v>
      </c>
      <c r="E34" s="41" t="s">
        <v>331</v>
      </c>
      <c r="F34" s="41" t="s">
        <v>108</v>
      </c>
      <c r="G34" s="41" t="s">
        <v>314</v>
      </c>
      <c r="H34" s="41">
        <v>840</v>
      </c>
      <c r="I34" s="41">
        <v>1000</v>
      </c>
      <c r="J34" s="41">
        <v>960</v>
      </c>
      <c r="K34" s="41" t="s">
        <v>108</v>
      </c>
      <c r="M34" s="36"/>
      <c r="N34" s="36"/>
    </row>
    <row r="35" spans="1:14" x14ac:dyDescent="0.3">
      <c r="A35" s="135"/>
      <c r="B35" s="19" t="s">
        <v>45</v>
      </c>
      <c r="C35" s="41" t="s">
        <v>108</v>
      </c>
      <c r="D35" s="41">
        <v>600</v>
      </c>
      <c r="E35" s="41">
        <v>750</v>
      </c>
      <c r="F35" s="41" t="s">
        <v>108</v>
      </c>
      <c r="G35" s="41" t="s">
        <v>347</v>
      </c>
      <c r="H35" s="41">
        <v>700</v>
      </c>
      <c r="I35" s="41">
        <v>500</v>
      </c>
      <c r="J35" s="41">
        <v>720</v>
      </c>
      <c r="K35" s="75">
        <v>723.46</v>
      </c>
    </row>
    <row r="36" spans="1:14" x14ac:dyDescent="0.3">
      <c r="C36" s="60"/>
      <c r="D36" s="60"/>
      <c r="E36" s="60"/>
      <c r="F36" s="60"/>
      <c r="G36" s="60"/>
      <c r="H36" s="60"/>
      <c r="I36" s="60"/>
      <c r="J36" s="60"/>
      <c r="K36" s="60"/>
    </row>
    <row r="37" spans="1:14" ht="49.2" customHeight="1" x14ac:dyDescent="0.3">
      <c r="A37" s="122" t="s">
        <v>68</v>
      </c>
      <c r="B37" s="122"/>
      <c r="C37" s="61" t="s">
        <v>268</v>
      </c>
      <c r="D37" s="40" t="s">
        <v>354</v>
      </c>
      <c r="E37" s="40" t="s">
        <v>108</v>
      </c>
      <c r="F37" s="40" t="s">
        <v>108</v>
      </c>
      <c r="G37" s="40" t="s">
        <v>108</v>
      </c>
      <c r="H37" s="40" t="s">
        <v>354</v>
      </c>
      <c r="I37" s="40" t="s">
        <v>354</v>
      </c>
      <c r="J37" s="40" t="s">
        <v>108</v>
      </c>
      <c r="K37" s="40" t="s">
        <v>630</v>
      </c>
    </row>
    <row r="38" spans="1:14" ht="144" x14ac:dyDescent="0.3">
      <c r="A38" s="122" t="s">
        <v>69</v>
      </c>
      <c r="B38" s="122"/>
      <c r="C38" s="40" t="s">
        <v>272</v>
      </c>
      <c r="D38" s="40" t="s">
        <v>317</v>
      </c>
      <c r="E38" s="40" t="s">
        <v>334</v>
      </c>
      <c r="F38" s="40" t="s">
        <v>108</v>
      </c>
      <c r="G38" s="40" t="s">
        <v>348</v>
      </c>
      <c r="H38" s="40" t="s">
        <v>356</v>
      </c>
      <c r="I38" s="40" t="s">
        <v>359</v>
      </c>
      <c r="J38" s="40" t="s">
        <v>365</v>
      </c>
      <c r="K38" s="40" t="s">
        <v>631</v>
      </c>
    </row>
    <row r="39" spans="1:14" ht="273.60000000000002" x14ac:dyDescent="0.3">
      <c r="A39" s="122" t="s">
        <v>70</v>
      </c>
      <c r="B39" s="122"/>
      <c r="C39" s="40" t="s">
        <v>270</v>
      </c>
      <c r="D39" s="40" t="s">
        <v>337</v>
      </c>
      <c r="E39" s="40" t="s">
        <v>333</v>
      </c>
      <c r="F39" s="40" t="s">
        <v>338</v>
      </c>
      <c r="G39" s="40" t="s">
        <v>351</v>
      </c>
      <c r="H39" s="40" t="s">
        <v>357</v>
      </c>
      <c r="I39" s="40" t="s">
        <v>108</v>
      </c>
      <c r="J39" s="40" t="s">
        <v>364</v>
      </c>
      <c r="K39" s="40" t="s">
        <v>633</v>
      </c>
    </row>
    <row r="40" spans="1:14" ht="187.2" x14ac:dyDescent="0.3">
      <c r="A40" s="122" t="s">
        <v>79</v>
      </c>
      <c r="B40" s="122"/>
      <c r="C40" s="40" t="s">
        <v>271</v>
      </c>
      <c r="D40" s="40" t="s">
        <v>316</v>
      </c>
      <c r="E40" s="40" t="s">
        <v>332</v>
      </c>
      <c r="F40" s="40" t="s">
        <v>336</v>
      </c>
      <c r="G40" s="40" t="s">
        <v>352</v>
      </c>
      <c r="H40" s="40" t="s">
        <v>352</v>
      </c>
      <c r="I40" s="40" t="s">
        <v>360</v>
      </c>
      <c r="J40" s="40" t="s">
        <v>363</v>
      </c>
      <c r="K40" s="40" t="s">
        <v>632</v>
      </c>
      <c r="L40" s="106"/>
    </row>
    <row r="41" spans="1:14" ht="129.6" x14ac:dyDescent="0.3">
      <c r="A41" s="122" t="s">
        <v>71</v>
      </c>
      <c r="B41" s="122"/>
      <c r="C41" s="40" t="s">
        <v>273</v>
      </c>
      <c r="D41" s="40" t="s">
        <v>326</v>
      </c>
      <c r="E41" s="40" t="s">
        <v>335</v>
      </c>
      <c r="F41" s="40" t="s">
        <v>108</v>
      </c>
      <c r="G41" s="40" t="s">
        <v>349</v>
      </c>
      <c r="H41" s="40" t="s">
        <v>358</v>
      </c>
      <c r="I41" s="40" t="s">
        <v>361</v>
      </c>
      <c r="J41" s="40" t="s">
        <v>366</v>
      </c>
      <c r="K41" s="40" t="s">
        <v>108</v>
      </c>
    </row>
    <row r="42" spans="1:14" ht="135" customHeight="1" x14ac:dyDescent="0.3">
      <c r="A42" s="132" t="s">
        <v>803</v>
      </c>
      <c r="B42" s="122"/>
      <c r="C42" s="40" t="s">
        <v>267</v>
      </c>
      <c r="D42" s="40" t="s">
        <v>108</v>
      </c>
      <c r="E42" s="40"/>
      <c r="F42" s="40" t="s">
        <v>108</v>
      </c>
      <c r="G42" s="40" t="s">
        <v>108</v>
      </c>
      <c r="H42" s="40" t="s">
        <v>108</v>
      </c>
      <c r="I42" s="40" t="s">
        <v>108</v>
      </c>
      <c r="J42" s="40" t="s">
        <v>108</v>
      </c>
      <c r="K42" s="40" t="s">
        <v>634</v>
      </c>
    </row>
    <row r="43" spans="1:14" x14ac:dyDescent="0.3">
      <c r="A43" s="122" t="s">
        <v>73</v>
      </c>
      <c r="B43" s="122"/>
      <c r="C43" s="40" t="s">
        <v>108</v>
      </c>
      <c r="D43" s="40" t="s">
        <v>108</v>
      </c>
      <c r="E43" s="40"/>
      <c r="F43" s="40" t="s">
        <v>108</v>
      </c>
      <c r="G43" s="40" t="s">
        <v>108</v>
      </c>
      <c r="H43" s="40" t="s">
        <v>108</v>
      </c>
      <c r="I43" s="40" t="s">
        <v>108</v>
      </c>
      <c r="J43" s="40" t="s">
        <v>108</v>
      </c>
      <c r="K43" s="40" t="s">
        <v>108</v>
      </c>
    </row>
    <row r="44" spans="1:14" ht="100.8" x14ac:dyDescent="0.3">
      <c r="A44" s="122" t="s">
        <v>74</v>
      </c>
      <c r="B44" s="122"/>
      <c r="C44" s="40" t="s">
        <v>269</v>
      </c>
      <c r="D44" s="40" t="s">
        <v>327</v>
      </c>
      <c r="E44" s="40"/>
      <c r="F44" s="40" t="s">
        <v>108</v>
      </c>
      <c r="G44" s="40" t="s">
        <v>350</v>
      </c>
      <c r="H44" s="40" t="s">
        <v>108</v>
      </c>
      <c r="I44" s="40" t="s">
        <v>108</v>
      </c>
      <c r="J44" s="40" t="s">
        <v>108</v>
      </c>
      <c r="K44" s="40" t="s">
        <v>108</v>
      </c>
    </row>
  </sheetData>
  <mergeCells count="24">
    <mergeCell ref="A43:B43"/>
    <mergeCell ref="A44:B44"/>
    <mergeCell ref="A40:B40"/>
    <mergeCell ref="A38:B38"/>
    <mergeCell ref="A24:B24"/>
    <mergeCell ref="A25:B25"/>
    <mergeCell ref="A26:B26"/>
    <mergeCell ref="A27:A35"/>
    <mergeCell ref="A37:B37"/>
    <mergeCell ref="A39:B39"/>
    <mergeCell ref="A41:B41"/>
    <mergeCell ref="A42:B42"/>
    <mergeCell ref="A17:B17"/>
    <mergeCell ref="A18:B18"/>
    <mergeCell ref="A19:B19"/>
    <mergeCell ref="A20:B20"/>
    <mergeCell ref="A23:B23"/>
    <mergeCell ref="A21:B21"/>
    <mergeCell ref="A4:B4"/>
    <mergeCell ref="C4:E4"/>
    <mergeCell ref="G4:G14"/>
    <mergeCell ref="H4:H14"/>
    <mergeCell ref="A5:B5"/>
    <mergeCell ref="A6:A14"/>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38"/>
  <sheetViews>
    <sheetView zoomScale="55" zoomScaleNormal="55" workbookViewId="0">
      <selection activeCell="E15" sqref="E15"/>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78</v>
      </c>
      <c r="B1" s="25"/>
    </row>
    <row r="2" spans="1:8" ht="48" customHeight="1" x14ac:dyDescent="0.3">
      <c r="A2" s="21" t="s">
        <v>33</v>
      </c>
    </row>
    <row r="3" spans="1:8" ht="43.2" x14ac:dyDescent="0.3">
      <c r="C3" s="14" t="s">
        <v>28</v>
      </c>
      <c r="D3" s="14" t="s">
        <v>30</v>
      </c>
      <c r="E3" s="14" t="s">
        <v>29</v>
      </c>
      <c r="F3" s="14" t="s">
        <v>124</v>
      </c>
      <c r="G3" s="14" t="s">
        <v>31</v>
      </c>
      <c r="H3" s="14" t="s">
        <v>32</v>
      </c>
    </row>
    <row r="4" spans="1:8" ht="72" x14ac:dyDescent="0.3">
      <c r="A4" s="119" t="s">
        <v>34</v>
      </c>
      <c r="B4" s="119"/>
      <c r="C4" s="136" t="s">
        <v>300</v>
      </c>
      <c r="D4" s="137"/>
      <c r="E4" s="138"/>
      <c r="F4" s="57" t="s">
        <v>301</v>
      </c>
      <c r="G4" s="123" t="s">
        <v>302</v>
      </c>
      <c r="H4" s="123" t="s">
        <v>303</v>
      </c>
    </row>
    <row r="5" spans="1:8" x14ac:dyDescent="0.3">
      <c r="A5" s="119" t="s">
        <v>46</v>
      </c>
      <c r="B5" s="119"/>
      <c r="C5" s="48">
        <v>25</v>
      </c>
      <c r="D5" s="48">
        <f>AVERAGE(C5,E5)</f>
        <v>27.5</v>
      </c>
      <c r="E5" s="47">
        <v>30</v>
      </c>
      <c r="F5" s="44">
        <v>1</v>
      </c>
      <c r="G5" s="124"/>
      <c r="H5" s="124"/>
    </row>
    <row r="6" spans="1:8" x14ac:dyDescent="0.3">
      <c r="A6" s="129" t="s">
        <v>3</v>
      </c>
      <c r="B6" s="19" t="s">
        <v>39</v>
      </c>
      <c r="C6" s="48">
        <f>C24</f>
        <v>350</v>
      </c>
      <c r="D6" s="48">
        <f>C24</f>
        <v>350</v>
      </c>
      <c r="E6" s="47">
        <f>C24</f>
        <v>350</v>
      </c>
      <c r="F6" s="44">
        <v>1</v>
      </c>
      <c r="G6" s="124"/>
      <c r="H6" s="124"/>
    </row>
    <row r="7" spans="1:8" x14ac:dyDescent="0.3">
      <c r="A7" s="129"/>
      <c r="B7" s="19" t="s">
        <v>40</v>
      </c>
      <c r="C7" s="48">
        <f t="shared" ref="C7:C11" si="0">C25</f>
        <v>350</v>
      </c>
      <c r="D7" s="48">
        <f t="shared" ref="D7:D11" si="1">C25</f>
        <v>350</v>
      </c>
      <c r="E7" s="47">
        <f t="shared" ref="E7:E11" si="2">C25</f>
        <v>350</v>
      </c>
      <c r="F7" s="44">
        <v>1</v>
      </c>
      <c r="G7" s="124"/>
      <c r="H7" s="124"/>
    </row>
    <row r="8" spans="1:8" x14ac:dyDescent="0.3">
      <c r="A8" s="129"/>
      <c r="B8" s="19" t="s">
        <v>41</v>
      </c>
      <c r="C8" s="48">
        <f t="shared" si="0"/>
        <v>350</v>
      </c>
      <c r="D8" s="48">
        <f t="shared" si="1"/>
        <v>350</v>
      </c>
      <c r="E8" s="47">
        <f t="shared" si="2"/>
        <v>350</v>
      </c>
      <c r="F8" s="44">
        <v>1</v>
      </c>
      <c r="G8" s="124"/>
      <c r="H8" s="124"/>
    </row>
    <row r="9" spans="1:8" x14ac:dyDescent="0.3">
      <c r="A9" s="129"/>
      <c r="B9" s="19" t="s">
        <v>42</v>
      </c>
      <c r="C9" s="48">
        <f t="shared" si="0"/>
        <v>350</v>
      </c>
      <c r="D9" s="48">
        <f t="shared" si="1"/>
        <v>350</v>
      </c>
      <c r="E9" s="47">
        <f t="shared" si="2"/>
        <v>350</v>
      </c>
      <c r="F9" s="44">
        <v>1</v>
      </c>
      <c r="G9" s="124"/>
      <c r="H9" s="124"/>
    </row>
    <row r="10" spans="1:8" x14ac:dyDescent="0.3">
      <c r="A10" s="129"/>
      <c r="B10" s="19" t="s">
        <v>97</v>
      </c>
      <c r="C10" s="48">
        <f t="shared" si="0"/>
        <v>350</v>
      </c>
      <c r="D10" s="48">
        <f t="shared" si="1"/>
        <v>350</v>
      </c>
      <c r="E10" s="47">
        <f t="shared" si="2"/>
        <v>350</v>
      </c>
      <c r="F10" s="44">
        <v>1</v>
      </c>
      <c r="G10" s="124"/>
      <c r="H10" s="124"/>
    </row>
    <row r="11" spans="1:8" x14ac:dyDescent="0.3">
      <c r="A11" s="129"/>
      <c r="B11" s="19" t="s">
        <v>98</v>
      </c>
      <c r="C11" s="48">
        <f t="shared" si="0"/>
        <v>350</v>
      </c>
      <c r="D11" s="48">
        <f t="shared" si="1"/>
        <v>350</v>
      </c>
      <c r="E11" s="47">
        <f t="shared" si="2"/>
        <v>350</v>
      </c>
      <c r="F11" s="44">
        <v>1</v>
      </c>
      <c r="G11" s="125"/>
      <c r="H11" s="125"/>
    </row>
    <row r="12" spans="1:8" ht="44.25" customHeight="1" x14ac:dyDescent="0.3">
      <c r="A12" s="21" t="s">
        <v>49</v>
      </c>
      <c r="C12" s="58">
        <v>1</v>
      </c>
      <c r="D12" s="58">
        <v>19</v>
      </c>
      <c r="E12" s="58">
        <v>28</v>
      </c>
      <c r="F12" s="58"/>
      <c r="G12" s="58"/>
      <c r="H12" s="58"/>
    </row>
    <row r="13" spans="1:8" x14ac:dyDescent="0.3">
      <c r="B13" s="12" t="s">
        <v>26</v>
      </c>
      <c r="C13" s="17">
        <v>1</v>
      </c>
      <c r="D13" s="17">
        <v>2</v>
      </c>
      <c r="E13" s="17">
        <v>3</v>
      </c>
      <c r="F13" s="58"/>
      <c r="G13" s="58"/>
      <c r="H13" s="58"/>
    </row>
    <row r="14" spans="1:8" x14ac:dyDescent="0.3">
      <c r="A14" s="119" t="s">
        <v>35</v>
      </c>
      <c r="B14" s="119"/>
      <c r="C14" s="43" t="s">
        <v>126</v>
      </c>
      <c r="D14" s="37" t="s">
        <v>288</v>
      </c>
      <c r="E14" s="37" t="s">
        <v>30</v>
      </c>
      <c r="F14" s="58"/>
      <c r="G14" s="58"/>
      <c r="H14" s="58"/>
    </row>
    <row r="15" spans="1:8" ht="100.8" x14ac:dyDescent="0.3">
      <c r="A15" s="119" t="s">
        <v>36</v>
      </c>
      <c r="B15" s="119"/>
      <c r="C15" s="43" t="s">
        <v>258</v>
      </c>
      <c r="D15" s="37" t="s">
        <v>290</v>
      </c>
      <c r="E15" s="43" t="s">
        <v>295</v>
      </c>
      <c r="F15" s="58"/>
      <c r="G15" s="58"/>
      <c r="H15" s="58"/>
    </row>
    <row r="16" spans="1:8" ht="57.6" x14ac:dyDescent="0.3">
      <c r="A16" s="119" t="s">
        <v>37</v>
      </c>
      <c r="B16" s="119"/>
      <c r="C16" s="43" t="s">
        <v>100</v>
      </c>
      <c r="D16" s="43" t="s">
        <v>289</v>
      </c>
      <c r="E16" s="37" t="s">
        <v>100</v>
      </c>
      <c r="F16" s="58"/>
      <c r="G16" s="58"/>
      <c r="H16" s="58"/>
    </row>
    <row r="17" spans="1:12" ht="28.8" x14ac:dyDescent="0.3">
      <c r="A17" s="122" t="s">
        <v>38</v>
      </c>
      <c r="B17" s="122"/>
      <c r="C17" s="43" t="s">
        <v>131</v>
      </c>
      <c r="D17" s="37" t="s">
        <v>108</v>
      </c>
      <c r="E17" s="43" t="s">
        <v>305</v>
      </c>
      <c r="F17" s="58"/>
      <c r="G17" s="58"/>
      <c r="H17" s="58"/>
      <c r="I17" s="58"/>
      <c r="J17" s="58"/>
      <c r="K17" s="58"/>
    </row>
    <row r="18" spans="1:12" x14ac:dyDescent="0.3">
      <c r="A18" s="122" t="s">
        <v>27</v>
      </c>
      <c r="B18" s="122"/>
      <c r="C18" s="37">
        <v>5</v>
      </c>
      <c r="D18" s="37">
        <v>2</v>
      </c>
      <c r="E18" s="37">
        <v>3</v>
      </c>
      <c r="F18" s="58"/>
      <c r="G18" s="58"/>
      <c r="H18" s="58"/>
      <c r="I18" s="58"/>
      <c r="J18" s="58"/>
      <c r="K18" s="58"/>
      <c r="L18" s="36"/>
    </row>
    <row r="19" spans="1:12" x14ac:dyDescent="0.3">
      <c r="C19" s="38"/>
      <c r="D19" s="38"/>
      <c r="E19" s="38"/>
      <c r="F19" s="58"/>
      <c r="G19" s="58"/>
      <c r="H19" s="58"/>
    </row>
    <row r="20" spans="1:12" x14ac:dyDescent="0.3">
      <c r="A20" s="122" t="s">
        <v>2</v>
      </c>
      <c r="B20" s="122"/>
      <c r="C20" s="48" t="s">
        <v>108</v>
      </c>
      <c r="D20" s="48" t="s">
        <v>108</v>
      </c>
      <c r="E20" s="48" t="s">
        <v>108</v>
      </c>
      <c r="F20" s="58"/>
      <c r="G20" s="58"/>
      <c r="H20" s="58"/>
    </row>
    <row r="21" spans="1:12" x14ac:dyDescent="0.3">
      <c r="A21" s="122" t="s">
        <v>13</v>
      </c>
      <c r="B21" s="122"/>
      <c r="C21" s="48" t="s">
        <v>108</v>
      </c>
      <c r="D21" s="48" t="s">
        <v>108</v>
      </c>
      <c r="E21" s="48" t="s">
        <v>108</v>
      </c>
      <c r="F21" s="58"/>
      <c r="G21" s="58"/>
      <c r="H21" s="58"/>
    </row>
    <row r="22" spans="1:12" x14ac:dyDescent="0.3">
      <c r="A22" s="122" t="s">
        <v>1</v>
      </c>
      <c r="B22" s="122"/>
      <c r="C22" s="48" t="s">
        <v>100</v>
      </c>
      <c r="D22" s="48" t="s">
        <v>287</v>
      </c>
      <c r="E22" s="48" t="s">
        <v>100</v>
      </c>
      <c r="F22" s="58"/>
      <c r="G22" s="58"/>
      <c r="H22" s="58"/>
    </row>
    <row r="23" spans="1:12" x14ac:dyDescent="0.3">
      <c r="A23" s="122" t="s">
        <v>46</v>
      </c>
      <c r="B23" s="122"/>
      <c r="C23" s="48" t="s">
        <v>108</v>
      </c>
      <c r="D23" s="48" t="s">
        <v>108</v>
      </c>
      <c r="E23" s="48" t="s">
        <v>296</v>
      </c>
      <c r="F23" s="58"/>
      <c r="G23" s="58"/>
      <c r="H23" s="58"/>
    </row>
    <row r="24" spans="1:12" x14ac:dyDescent="0.3">
      <c r="A24" s="133" t="s">
        <v>3</v>
      </c>
      <c r="B24" s="19" t="s">
        <v>39</v>
      </c>
      <c r="C24" s="48">
        <v>350</v>
      </c>
      <c r="D24" s="48" t="s">
        <v>108</v>
      </c>
      <c r="E24" s="48" t="s">
        <v>108</v>
      </c>
      <c r="F24" s="58"/>
      <c r="G24" s="58"/>
      <c r="H24" s="58"/>
    </row>
    <row r="25" spans="1:12" x14ac:dyDescent="0.3">
      <c r="A25" s="134"/>
      <c r="B25" s="19" t="s">
        <v>40</v>
      </c>
      <c r="C25" s="48">
        <v>350</v>
      </c>
      <c r="D25" s="48" t="s">
        <v>108</v>
      </c>
      <c r="E25" s="48" t="s">
        <v>108</v>
      </c>
      <c r="F25" s="58"/>
      <c r="G25" s="58"/>
      <c r="H25" s="58"/>
    </row>
    <row r="26" spans="1:12" x14ac:dyDescent="0.3">
      <c r="A26" s="134"/>
      <c r="B26" s="19" t="s">
        <v>41</v>
      </c>
      <c r="C26" s="48">
        <v>350</v>
      </c>
      <c r="D26" s="48" t="s">
        <v>108</v>
      </c>
      <c r="E26" s="48" t="s">
        <v>108</v>
      </c>
      <c r="F26" s="58"/>
      <c r="G26" s="58"/>
      <c r="H26" s="58"/>
    </row>
    <row r="27" spans="1:12" x14ac:dyDescent="0.3">
      <c r="A27" s="134"/>
      <c r="B27" s="19" t="s">
        <v>42</v>
      </c>
      <c r="C27" s="48">
        <v>350</v>
      </c>
      <c r="D27" s="48" t="s">
        <v>108</v>
      </c>
      <c r="E27" s="48" t="s">
        <v>108</v>
      </c>
      <c r="F27" s="58"/>
      <c r="G27" s="58"/>
      <c r="H27" s="58"/>
    </row>
    <row r="28" spans="1:12" x14ac:dyDescent="0.3">
      <c r="A28" s="134"/>
      <c r="B28" s="19" t="s">
        <v>97</v>
      </c>
      <c r="C28" s="48">
        <v>350</v>
      </c>
      <c r="D28" s="48" t="s">
        <v>108</v>
      </c>
      <c r="E28" s="48" t="s">
        <v>108</v>
      </c>
      <c r="F28" s="58"/>
      <c r="G28" s="58"/>
      <c r="H28" s="58"/>
    </row>
    <row r="29" spans="1:12" x14ac:dyDescent="0.3">
      <c r="A29" s="135"/>
      <c r="B29" s="19" t="s">
        <v>98</v>
      </c>
      <c r="C29" s="48">
        <v>350</v>
      </c>
      <c r="D29" s="48" t="s">
        <v>108</v>
      </c>
      <c r="E29" s="48" t="s">
        <v>108</v>
      </c>
      <c r="F29" s="58"/>
      <c r="G29" s="58"/>
      <c r="H29" s="58"/>
    </row>
    <row r="30" spans="1:12" x14ac:dyDescent="0.3">
      <c r="C30" s="38"/>
      <c r="D30" s="38"/>
      <c r="E30" s="38"/>
      <c r="F30" s="58"/>
      <c r="G30" s="58"/>
      <c r="H30" s="58"/>
    </row>
    <row r="31" spans="1:12" ht="100.8" x14ac:dyDescent="0.3">
      <c r="A31" s="122" t="s">
        <v>68</v>
      </c>
      <c r="B31" s="122"/>
      <c r="C31" s="40" t="s">
        <v>108</v>
      </c>
      <c r="D31" s="40" t="s">
        <v>291</v>
      </c>
      <c r="E31" s="40" t="s">
        <v>108</v>
      </c>
      <c r="F31" s="58"/>
      <c r="G31" s="58"/>
      <c r="H31" s="58"/>
    </row>
    <row r="32" spans="1:12" ht="172.8" x14ac:dyDescent="0.3">
      <c r="A32" s="122" t="s">
        <v>69</v>
      </c>
      <c r="B32" s="122"/>
      <c r="C32" s="40" t="s">
        <v>304</v>
      </c>
      <c r="D32" s="40" t="s">
        <v>294</v>
      </c>
      <c r="E32" s="40" t="s">
        <v>298</v>
      </c>
      <c r="F32" s="58"/>
      <c r="G32" s="58"/>
      <c r="H32" s="58"/>
    </row>
    <row r="33" spans="1:8" ht="115.2" x14ac:dyDescent="0.3">
      <c r="A33" s="122" t="s">
        <v>70</v>
      </c>
      <c r="B33" s="122"/>
      <c r="C33" s="40" t="s">
        <v>286</v>
      </c>
      <c r="D33" s="40" t="s">
        <v>293</v>
      </c>
      <c r="E33" s="40" t="s">
        <v>297</v>
      </c>
      <c r="F33" s="58"/>
      <c r="G33" s="58"/>
      <c r="H33" s="58"/>
    </row>
    <row r="34" spans="1:8" ht="72" x14ac:dyDescent="0.3">
      <c r="A34" s="122" t="s">
        <v>79</v>
      </c>
      <c r="B34" s="122"/>
      <c r="C34" s="40" t="s">
        <v>284</v>
      </c>
      <c r="D34" s="40" t="s">
        <v>292</v>
      </c>
      <c r="E34" s="40" t="s">
        <v>409</v>
      </c>
      <c r="F34" s="58"/>
      <c r="G34" s="58"/>
      <c r="H34" s="58"/>
    </row>
    <row r="35" spans="1:8" ht="216" x14ac:dyDescent="0.3">
      <c r="A35" s="122" t="s">
        <v>71</v>
      </c>
      <c r="B35" s="122"/>
      <c r="C35" s="40" t="s">
        <v>108</v>
      </c>
      <c r="D35" s="40" t="s">
        <v>306</v>
      </c>
      <c r="E35" s="40" t="s">
        <v>299</v>
      </c>
      <c r="F35" s="58"/>
      <c r="G35" s="58"/>
      <c r="H35" s="58"/>
    </row>
    <row r="36" spans="1:8" ht="15" customHeight="1" x14ac:dyDescent="0.3">
      <c r="A36" s="132" t="s">
        <v>803</v>
      </c>
      <c r="B36" s="122"/>
      <c r="C36" s="40" t="s">
        <v>108</v>
      </c>
      <c r="D36" s="40" t="s">
        <v>108</v>
      </c>
      <c r="E36" s="40" t="s">
        <v>108</v>
      </c>
      <c r="F36" s="58"/>
      <c r="G36" s="58"/>
      <c r="H36" s="58"/>
    </row>
    <row r="37" spans="1:8" x14ac:dyDescent="0.3">
      <c r="A37" s="122" t="s">
        <v>73</v>
      </c>
      <c r="B37" s="122"/>
      <c r="C37" s="40" t="s">
        <v>108</v>
      </c>
      <c r="D37" s="40" t="s">
        <v>108</v>
      </c>
      <c r="E37" s="40" t="s">
        <v>108</v>
      </c>
      <c r="F37" s="58"/>
      <c r="G37" s="58"/>
      <c r="H37" s="58"/>
    </row>
    <row r="38" spans="1:8" ht="100.8" x14ac:dyDescent="0.3">
      <c r="A38" s="122" t="s">
        <v>74</v>
      </c>
      <c r="B38" s="122"/>
      <c r="C38" s="40" t="s">
        <v>285</v>
      </c>
      <c r="D38" s="40" t="s">
        <v>108</v>
      </c>
      <c r="E38" s="40" t="s">
        <v>108</v>
      </c>
      <c r="F38" s="58"/>
      <c r="G38" s="58"/>
      <c r="H38" s="58"/>
    </row>
  </sheetData>
  <mergeCells count="24">
    <mergeCell ref="A37:B37"/>
    <mergeCell ref="A38:B38"/>
    <mergeCell ref="A34:B34"/>
    <mergeCell ref="A32:B32"/>
    <mergeCell ref="A21:B21"/>
    <mergeCell ref="A22:B22"/>
    <mergeCell ref="A23:B23"/>
    <mergeCell ref="A24:A29"/>
    <mergeCell ref="A31:B31"/>
    <mergeCell ref="A33:B33"/>
    <mergeCell ref="A35:B35"/>
    <mergeCell ref="A36:B36"/>
    <mergeCell ref="A14:B14"/>
    <mergeCell ref="A15:B15"/>
    <mergeCell ref="A16:B16"/>
    <mergeCell ref="A17:B17"/>
    <mergeCell ref="A20:B20"/>
    <mergeCell ref="A18:B18"/>
    <mergeCell ref="A4:B4"/>
    <mergeCell ref="C4:E4"/>
    <mergeCell ref="G4:G11"/>
    <mergeCell ref="H4:H11"/>
    <mergeCell ref="A5:B5"/>
    <mergeCell ref="A6:A1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L43"/>
  <sheetViews>
    <sheetView zoomScale="70" zoomScaleNormal="70" workbookViewId="0">
      <selection activeCell="F14" sqref="C4:F14"/>
    </sheetView>
  </sheetViews>
  <sheetFormatPr defaultColWidth="9.109375" defaultRowHeight="14.4" x14ac:dyDescent="0.3"/>
  <cols>
    <col min="1" max="1" width="11.109375" style="1" customWidth="1"/>
    <col min="2" max="2" width="45.33203125" style="1" customWidth="1"/>
    <col min="3" max="7" width="16.6640625" style="1" customWidth="1"/>
    <col min="8" max="9" width="16.88671875" style="1" customWidth="1"/>
    <col min="10" max="10" width="8.88671875" style="1" customWidth="1"/>
    <col min="11" max="16384" width="9.109375" style="1"/>
  </cols>
  <sheetData>
    <row r="1" spans="1:9" x14ac:dyDescent="0.3">
      <c r="A1" s="24" t="s">
        <v>80</v>
      </c>
      <c r="B1" s="25"/>
    </row>
    <row r="2" spans="1:9" ht="48" customHeight="1" x14ac:dyDescent="0.3">
      <c r="A2" s="21" t="s">
        <v>33</v>
      </c>
    </row>
    <row r="3" spans="1:9" ht="43.2" x14ac:dyDescent="0.3">
      <c r="C3" s="15" t="s">
        <v>28</v>
      </c>
      <c r="D3" s="15" t="s">
        <v>30</v>
      </c>
      <c r="E3" s="15" t="s">
        <v>29</v>
      </c>
      <c r="F3" s="14" t="s">
        <v>124</v>
      </c>
      <c r="G3" s="14" t="s">
        <v>31</v>
      </c>
      <c r="H3" s="14" t="s">
        <v>32</v>
      </c>
    </row>
    <row r="4" spans="1:9" ht="28.8" x14ac:dyDescent="0.3">
      <c r="A4" s="139" t="s">
        <v>34</v>
      </c>
      <c r="B4" s="139"/>
      <c r="C4" s="136" t="s">
        <v>642</v>
      </c>
      <c r="D4" s="137"/>
      <c r="E4" s="138"/>
      <c r="F4" s="43" t="s">
        <v>641</v>
      </c>
      <c r="G4" s="123" t="s">
        <v>403</v>
      </c>
      <c r="H4" s="123" t="s">
        <v>404</v>
      </c>
    </row>
    <row r="5" spans="1:9" ht="28.8" x14ac:dyDescent="0.3">
      <c r="A5" s="139" t="s">
        <v>48</v>
      </c>
      <c r="B5" s="139"/>
      <c r="C5" s="70">
        <v>10</v>
      </c>
      <c r="D5" s="70">
        <v>10</v>
      </c>
      <c r="E5" s="96" t="s">
        <v>401</v>
      </c>
      <c r="F5" s="37">
        <v>1</v>
      </c>
      <c r="G5" s="124"/>
      <c r="H5" s="124"/>
    </row>
    <row r="6" spans="1:9" x14ac:dyDescent="0.3">
      <c r="A6" s="141" t="s">
        <v>3</v>
      </c>
      <c r="B6" s="20" t="s">
        <v>39</v>
      </c>
      <c r="C6" s="70">
        <f t="shared" ref="C6:C11" si="0">E27</f>
        <v>180</v>
      </c>
      <c r="D6" s="70">
        <f>ROUND(AVERAGE(D27,E27,F27,H27,I27),-1)</f>
        <v>320</v>
      </c>
      <c r="E6" s="97">
        <f>ROUND(I27,-1)</f>
        <v>580</v>
      </c>
      <c r="F6" s="37">
        <v>5</v>
      </c>
      <c r="G6" s="124"/>
      <c r="H6" s="124"/>
    </row>
    <row r="7" spans="1:9" x14ac:dyDescent="0.3">
      <c r="A7" s="141"/>
      <c r="B7" s="20" t="s">
        <v>40</v>
      </c>
      <c r="C7" s="70">
        <f t="shared" si="0"/>
        <v>235</v>
      </c>
      <c r="D7" s="70">
        <f>ROUND(AVERAGE(D28,E28,F28,I28),-1)</f>
        <v>430</v>
      </c>
      <c r="E7" s="97">
        <f>ROUND(I28,-1)</f>
        <v>590</v>
      </c>
      <c r="F7" s="37">
        <v>4</v>
      </c>
      <c r="G7" s="124"/>
      <c r="H7" s="124"/>
    </row>
    <row r="8" spans="1:9" x14ac:dyDescent="0.3">
      <c r="A8" s="141"/>
      <c r="B8" s="20" t="s">
        <v>41</v>
      </c>
      <c r="C8" s="70">
        <f t="shared" si="0"/>
        <v>180</v>
      </c>
      <c r="D8" s="70">
        <f>ROUND(AVERAGE(D29,E29,F29,H29,I29),-1)</f>
        <v>350</v>
      </c>
      <c r="E8" s="97">
        <f>ROUND(I29,-1)</f>
        <v>600</v>
      </c>
      <c r="F8" s="37">
        <v>5</v>
      </c>
      <c r="G8" s="124"/>
      <c r="H8" s="124"/>
    </row>
    <row r="9" spans="1:9" x14ac:dyDescent="0.3">
      <c r="A9" s="141"/>
      <c r="B9" s="20" t="s">
        <v>42</v>
      </c>
      <c r="C9" s="70">
        <f t="shared" si="0"/>
        <v>200</v>
      </c>
      <c r="D9" s="70">
        <f>ROUND(AVERAGE(D30,E30,F30,H30,I30),-1)</f>
        <v>420</v>
      </c>
      <c r="E9" s="105">
        <f>F30</f>
        <v>645</v>
      </c>
      <c r="F9" s="37">
        <v>5</v>
      </c>
      <c r="G9" s="124"/>
      <c r="H9" s="124"/>
    </row>
    <row r="10" spans="1:9" x14ac:dyDescent="0.3">
      <c r="A10" s="141"/>
      <c r="B10" s="20" t="s">
        <v>97</v>
      </c>
      <c r="C10" s="70">
        <f t="shared" si="0"/>
        <v>180</v>
      </c>
      <c r="D10" s="70">
        <f>ROUND(AVERAGE(325,D31,E31,I31),-1)</f>
        <v>360</v>
      </c>
      <c r="E10" s="97">
        <f>ROUND(I31,-1)</f>
        <v>610</v>
      </c>
      <c r="F10" s="37">
        <v>4</v>
      </c>
      <c r="G10" s="124"/>
      <c r="H10" s="124"/>
    </row>
    <row r="11" spans="1:9" x14ac:dyDescent="0.3">
      <c r="A11" s="141"/>
      <c r="B11" s="20" t="s">
        <v>98</v>
      </c>
      <c r="C11" s="70">
        <f t="shared" si="0"/>
        <v>210</v>
      </c>
      <c r="D11" s="70">
        <f>ROUND(AVERAGE(D32,E32,F32,365,I32),-1)</f>
        <v>470</v>
      </c>
      <c r="E11" s="97">
        <f>F32</f>
        <v>650</v>
      </c>
      <c r="F11" s="37">
        <v>5</v>
      </c>
      <c r="G11" s="124"/>
      <c r="H11" s="124"/>
    </row>
    <row r="12" spans="1:9" x14ac:dyDescent="0.3">
      <c r="A12" s="141"/>
      <c r="B12" s="20" t="s">
        <v>43</v>
      </c>
      <c r="C12" s="70">
        <v>220</v>
      </c>
      <c r="D12" s="70">
        <f>ROUND(AVERAGE(D33,230,F33,I33),-1)</f>
        <v>510</v>
      </c>
      <c r="E12" s="97">
        <f>F33</f>
        <v>750</v>
      </c>
      <c r="F12" s="37">
        <v>4</v>
      </c>
      <c r="G12" s="124"/>
      <c r="H12" s="124"/>
    </row>
    <row r="13" spans="1:9" x14ac:dyDescent="0.3">
      <c r="A13" s="141"/>
      <c r="B13" s="20" t="s">
        <v>44</v>
      </c>
      <c r="C13" s="70">
        <f>E34</f>
        <v>300</v>
      </c>
      <c r="D13" s="70">
        <f>ROUND(AVERAGE(D34,E34,F34,550,I34),-1)</f>
        <v>600</v>
      </c>
      <c r="E13" s="97">
        <f>F34</f>
        <v>955</v>
      </c>
      <c r="F13" s="37">
        <v>5</v>
      </c>
      <c r="G13" s="124"/>
      <c r="H13" s="124"/>
    </row>
    <row r="14" spans="1:9" x14ac:dyDescent="0.3">
      <c r="A14" s="141"/>
      <c r="B14" s="20" t="s">
        <v>45</v>
      </c>
      <c r="C14" s="70">
        <f>E35</f>
        <v>430</v>
      </c>
      <c r="D14" s="70">
        <f>ROUND(AVERAGE(D35,E35,F35,I35),-1)</f>
        <v>620</v>
      </c>
      <c r="E14" s="97">
        <f>F35</f>
        <v>900</v>
      </c>
      <c r="F14" s="37">
        <v>4</v>
      </c>
      <c r="G14" s="125"/>
      <c r="H14" s="125"/>
    </row>
    <row r="15" spans="1:9" ht="44.25" customHeight="1" x14ac:dyDescent="0.3">
      <c r="A15" s="21" t="s">
        <v>49</v>
      </c>
      <c r="C15" s="58">
        <v>1</v>
      </c>
      <c r="D15" s="58">
        <v>3</v>
      </c>
      <c r="E15" s="58">
        <v>7</v>
      </c>
      <c r="F15" s="58">
        <v>8</v>
      </c>
      <c r="G15" s="58">
        <v>10</v>
      </c>
      <c r="H15" s="58">
        <v>20</v>
      </c>
      <c r="I15" s="58">
        <v>53</v>
      </c>
    </row>
    <row r="16" spans="1:9" x14ac:dyDescent="0.3">
      <c r="B16" s="13" t="s">
        <v>26</v>
      </c>
      <c r="C16" s="18">
        <v>1</v>
      </c>
      <c r="D16" s="18">
        <v>2</v>
      </c>
      <c r="E16" s="18">
        <v>3</v>
      </c>
      <c r="F16" s="18">
        <v>4</v>
      </c>
      <c r="G16" s="18">
        <v>5</v>
      </c>
      <c r="H16" s="18">
        <v>6</v>
      </c>
      <c r="I16" s="18">
        <v>7</v>
      </c>
    </row>
    <row r="17" spans="1:12" x14ac:dyDescent="0.3">
      <c r="A17" s="139" t="s">
        <v>35</v>
      </c>
      <c r="B17" s="139"/>
      <c r="C17" s="37" t="s">
        <v>126</v>
      </c>
      <c r="D17" s="37" t="s">
        <v>142</v>
      </c>
      <c r="E17" s="43" t="s">
        <v>142</v>
      </c>
      <c r="F17" s="37" t="s">
        <v>288</v>
      </c>
      <c r="G17" s="37" t="s">
        <v>142</v>
      </c>
      <c r="H17" s="37" t="s">
        <v>205</v>
      </c>
      <c r="I17" s="37" t="s">
        <v>126</v>
      </c>
    </row>
    <row r="18" spans="1:12" ht="100.8" x14ac:dyDescent="0.3">
      <c r="A18" s="139" t="s">
        <v>36</v>
      </c>
      <c r="B18" s="139"/>
      <c r="C18" s="43" t="s">
        <v>258</v>
      </c>
      <c r="D18" s="37" t="s">
        <v>308</v>
      </c>
      <c r="E18" s="43" t="s">
        <v>310</v>
      </c>
      <c r="F18" s="43" t="s">
        <v>385</v>
      </c>
      <c r="G18" s="43" t="s">
        <v>158</v>
      </c>
      <c r="H18" s="43" t="s">
        <v>392</v>
      </c>
      <c r="I18" s="43" t="s">
        <v>497</v>
      </c>
    </row>
    <row r="19" spans="1:12" ht="72" x14ac:dyDescent="0.3">
      <c r="A19" s="139" t="s">
        <v>37</v>
      </c>
      <c r="B19" s="139"/>
      <c r="C19" s="37" t="s">
        <v>100</v>
      </c>
      <c r="D19" s="43" t="s">
        <v>377</v>
      </c>
      <c r="E19" s="43" t="s">
        <v>309</v>
      </c>
      <c r="F19" s="43" t="s">
        <v>383</v>
      </c>
      <c r="G19" s="37" t="s">
        <v>143</v>
      </c>
      <c r="H19" s="43" t="s">
        <v>391</v>
      </c>
      <c r="I19" s="43" t="s">
        <v>254</v>
      </c>
    </row>
    <row r="20" spans="1:12" x14ac:dyDescent="0.3">
      <c r="A20" s="140" t="s">
        <v>38</v>
      </c>
      <c r="B20" s="140"/>
      <c r="C20" s="37" t="s">
        <v>131</v>
      </c>
      <c r="D20" s="37" t="s">
        <v>343</v>
      </c>
      <c r="E20" s="43" t="s">
        <v>402</v>
      </c>
      <c r="F20" s="37" t="s">
        <v>108</v>
      </c>
      <c r="G20" s="37" t="s">
        <v>115</v>
      </c>
      <c r="H20" s="37" t="s">
        <v>343</v>
      </c>
      <c r="I20" s="37" t="s">
        <v>108</v>
      </c>
    </row>
    <row r="21" spans="1:12" x14ac:dyDescent="0.3">
      <c r="A21" s="122" t="s">
        <v>27</v>
      </c>
      <c r="B21" s="122"/>
      <c r="C21" s="37">
        <v>4</v>
      </c>
      <c r="D21" s="37">
        <v>5</v>
      </c>
      <c r="E21" s="37">
        <v>5</v>
      </c>
      <c r="F21" s="37">
        <v>3</v>
      </c>
      <c r="G21" s="37">
        <v>4</v>
      </c>
      <c r="H21" s="37">
        <v>4</v>
      </c>
      <c r="I21" s="37">
        <v>5</v>
      </c>
      <c r="J21" s="58"/>
      <c r="K21" s="58"/>
      <c r="L21" s="36"/>
    </row>
    <row r="22" spans="1:12" x14ac:dyDescent="0.3">
      <c r="C22" s="38"/>
      <c r="D22" s="16"/>
      <c r="E22" s="16"/>
      <c r="F22" s="16"/>
      <c r="G22" s="16"/>
      <c r="H22" s="16"/>
      <c r="I22" s="16"/>
    </row>
    <row r="23" spans="1:12" ht="43.2" x14ac:dyDescent="0.3">
      <c r="A23" s="122" t="s">
        <v>2</v>
      </c>
      <c r="B23" s="122"/>
      <c r="C23" s="48" t="s">
        <v>108</v>
      </c>
      <c r="D23" s="48">
        <v>191468</v>
      </c>
      <c r="E23" s="41" t="s">
        <v>323</v>
      </c>
      <c r="F23" s="48">
        <v>4000</v>
      </c>
      <c r="G23" s="48" t="s">
        <v>108</v>
      </c>
      <c r="H23" s="48" t="s">
        <v>108</v>
      </c>
      <c r="I23" s="70" t="s">
        <v>108</v>
      </c>
    </row>
    <row r="24" spans="1:12" ht="86.4" x14ac:dyDescent="0.3">
      <c r="A24" s="122" t="s">
        <v>13</v>
      </c>
      <c r="B24" s="122"/>
      <c r="C24" s="48" t="s">
        <v>108</v>
      </c>
      <c r="D24" s="57" t="s">
        <v>386</v>
      </c>
      <c r="E24" s="41" t="s">
        <v>388</v>
      </c>
      <c r="F24" s="41" t="s">
        <v>387</v>
      </c>
      <c r="G24" s="48" t="s">
        <v>105</v>
      </c>
      <c r="H24" s="48" t="s">
        <v>394</v>
      </c>
      <c r="I24" s="41" t="s">
        <v>636</v>
      </c>
    </row>
    <row r="25" spans="1:12" ht="28.8" x14ac:dyDescent="0.3">
      <c r="A25" s="122" t="s">
        <v>1</v>
      </c>
      <c r="B25" s="122"/>
      <c r="C25" s="48" t="s">
        <v>100</v>
      </c>
      <c r="D25" s="64" t="s">
        <v>378</v>
      </c>
      <c r="E25" s="41" t="s">
        <v>311</v>
      </c>
      <c r="F25" s="70" t="s">
        <v>384</v>
      </c>
      <c r="G25" s="70" t="s">
        <v>101</v>
      </c>
      <c r="H25" s="98" t="s">
        <v>393</v>
      </c>
      <c r="I25" s="98" t="s">
        <v>416</v>
      </c>
    </row>
    <row r="26" spans="1:12" ht="75.900000000000006" customHeight="1" x14ac:dyDescent="0.3">
      <c r="A26" s="122" t="s">
        <v>319</v>
      </c>
      <c r="B26" s="122"/>
      <c r="C26" s="48" t="s">
        <v>108</v>
      </c>
      <c r="D26" s="48" t="s">
        <v>108</v>
      </c>
      <c r="E26" s="48" t="s">
        <v>108</v>
      </c>
      <c r="F26" s="70"/>
      <c r="G26" s="98" t="s">
        <v>375</v>
      </c>
      <c r="H26" s="70" t="s">
        <v>108</v>
      </c>
      <c r="I26" s="70" t="s">
        <v>108</v>
      </c>
    </row>
    <row r="27" spans="1:12" x14ac:dyDescent="0.3">
      <c r="A27" s="133" t="s">
        <v>3</v>
      </c>
      <c r="B27" s="19" t="s">
        <v>39</v>
      </c>
      <c r="C27" s="48"/>
      <c r="D27" s="48">
        <v>370</v>
      </c>
      <c r="E27" s="48">
        <v>180</v>
      </c>
      <c r="F27" s="70">
        <v>225</v>
      </c>
      <c r="G27" s="70" t="s">
        <v>108</v>
      </c>
      <c r="H27" s="70">
        <v>225</v>
      </c>
      <c r="I27" s="70">
        <v>577.05999999999995</v>
      </c>
    </row>
    <row r="28" spans="1:12" x14ac:dyDescent="0.3">
      <c r="A28" s="134"/>
      <c r="B28" s="19" t="s">
        <v>40</v>
      </c>
      <c r="C28" s="48"/>
      <c r="D28" s="48">
        <v>445</v>
      </c>
      <c r="E28" s="48">
        <v>235</v>
      </c>
      <c r="F28" s="70">
        <v>450</v>
      </c>
      <c r="G28" s="70" t="s">
        <v>108</v>
      </c>
      <c r="H28" s="70" t="s">
        <v>108</v>
      </c>
      <c r="I28" s="70">
        <v>585.6</v>
      </c>
    </row>
    <row r="29" spans="1:12" x14ac:dyDescent="0.3">
      <c r="A29" s="134"/>
      <c r="B29" s="19" t="s">
        <v>41</v>
      </c>
      <c r="C29" s="48"/>
      <c r="D29" s="48">
        <v>295</v>
      </c>
      <c r="E29" s="48">
        <v>180</v>
      </c>
      <c r="F29" s="70">
        <v>450</v>
      </c>
      <c r="G29" s="70" t="s">
        <v>108</v>
      </c>
      <c r="H29" s="70">
        <v>225</v>
      </c>
      <c r="I29" s="70">
        <v>601.46</v>
      </c>
    </row>
    <row r="30" spans="1:12" x14ac:dyDescent="0.3">
      <c r="A30" s="134"/>
      <c r="B30" s="19" t="s">
        <v>42</v>
      </c>
      <c r="C30" s="48"/>
      <c r="D30" s="48">
        <v>345</v>
      </c>
      <c r="E30" s="48">
        <v>200</v>
      </c>
      <c r="F30" s="70">
        <v>645</v>
      </c>
      <c r="G30" s="70" t="s">
        <v>108</v>
      </c>
      <c r="H30" s="70">
        <v>275</v>
      </c>
      <c r="I30" s="70">
        <v>616.1</v>
      </c>
    </row>
    <row r="31" spans="1:12" x14ac:dyDescent="0.3">
      <c r="A31" s="134"/>
      <c r="B31" s="19" t="s">
        <v>97</v>
      </c>
      <c r="C31" s="48" t="s">
        <v>371</v>
      </c>
      <c r="D31" s="48">
        <v>320</v>
      </c>
      <c r="E31" s="48">
        <v>180</v>
      </c>
      <c r="F31" s="70" t="s">
        <v>108</v>
      </c>
      <c r="G31" s="70" t="s">
        <v>108</v>
      </c>
      <c r="H31" s="70" t="s">
        <v>108</v>
      </c>
      <c r="I31" s="70">
        <v>610</v>
      </c>
    </row>
    <row r="32" spans="1:12" x14ac:dyDescent="0.3">
      <c r="A32" s="134"/>
      <c r="B32" s="19" t="s">
        <v>98</v>
      </c>
      <c r="C32" s="48"/>
      <c r="D32" s="48">
        <v>505</v>
      </c>
      <c r="E32" s="48">
        <v>210</v>
      </c>
      <c r="F32" s="70">
        <v>650</v>
      </c>
      <c r="G32" s="70" t="s">
        <v>108</v>
      </c>
      <c r="H32" s="70" t="s">
        <v>395</v>
      </c>
      <c r="I32" s="70">
        <v>634.4</v>
      </c>
    </row>
    <row r="33" spans="1:9" x14ac:dyDescent="0.3">
      <c r="A33" s="134"/>
      <c r="B33" s="19" t="s">
        <v>43</v>
      </c>
      <c r="C33" s="48"/>
      <c r="D33" s="48">
        <v>395</v>
      </c>
      <c r="E33" s="48" t="s">
        <v>321</v>
      </c>
      <c r="F33" s="70">
        <v>750</v>
      </c>
      <c r="G33" s="70" t="s">
        <v>108</v>
      </c>
      <c r="H33" s="70" t="s">
        <v>108</v>
      </c>
      <c r="I33" s="70">
        <v>646.6</v>
      </c>
    </row>
    <row r="34" spans="1:9" x14ac:dyDescent="0.3">
      <c r="A34" s="134"/>
      <c r="B34" s="19" t="s">
        <v>44</v>
      </c>
      <c r="C34" s="48"/>
      <c r="D34" s="48">
        <v>495</v>
      </c>
      <c r="E34" s="48">
        <v>300</v>
      </c>
      <c r="F34" s="70">
        <v>955</v>
      </c>
      <c r="G34" s="70" t="s">
        <v>108</v>
      </c>
      <c r="H34" s="70" t="s">
        <v>396</v>
      </c>
      <c r="I34" s="70">
        <v>685.64</v>
      </c>
    </row>
    <row r="35" spans="1:9" ht="43.2" x14ac:dyDescent="0.3">
      <c r="A35" s="135"/>
      <c r="B35" s="19" t="s">
        <v>45</v>
      </c>
      <c r="C35" s="48"/>
      <c r="D35" s="48">
        <v>470</v>
      </c>
      <c r="E35" s="48">
        <v>430</v>
      </c>
      <c r="F35" s="70">
        <v>900</v>
      </c>
      <c r="G35" s="70" t="s">
        <v>108</v>
      </c>
      <c r="H35" s="56" t="s">
        <v>405</v>
      </c>
      <c r="I35" s="56">
        <v>673.44</v>
      </c>
    </row>
    <row r="36" spans="1:9" x14ac:dyDescent="0.3">
      <c r="C36" s="38"/>
      <c r="D36" s="38"/>
      <c r="E36" s="38"/>
      <c r="F36" s="38"/>
      <c r="G36" s="38"/>
      <c r="H36" s="38"/>
      <c r="I36" s="38"/>
    </row>
    <row r="37" spans="1:9" ht="57.6" x14ac:dyDescent="0.3">
      <c r="A37" s="122" t="s">
        <v>68</v>
      </c>
      <c r="B37" s="122"/>
      <c r="C37" s="40" t="s">
        <v>381</v>
      </c>
      <c r="D37" s="40" t="s">
        <v>379</v>
      </c>
      <c r="E37" s="40" t="s">
        <v>108</v>
      </c>
      <c r="F37" s="40" t="s">
        <v>108</v>
      </c>
      <c r="G37" s="40" t="s">
        <v>374</v>
      </c>
      <c r="H37" s="40" t="s">
        <v>397</v>
      </c>
      <c r="I37" s="40" t="s">
        <v>379</v>
      </c>
    </row>
    <row r="38" spans="1:9" ht="57.6" x14ac:dyDescent="0.3">
      <c r="A38" s="122" t="s">
        <v>69</v>
      </c>
      <c r="B38" s="122"/>
      <c r="C38" s="40" t="s">
        <v>370</v>
      </c>
      <c r="D38" s="40" t="s">
        <v>108</v>
      </c>
      <c r="E38" s="40" t="s">
        <v>324</v>
      </c>
      <c r="F38" s="40" t="s">
        <v>108</v>
      </c>
      <c r="G38" s="40" t="s">
        <v>108</v>
      </c>
      <c r="H38" s="40" t="s">
        <v>399</v>
      </c>
      <c r="I38" s="40" t="s">
        <v>465</v>
      </c>
    </row>
    <row r="39" spans="1:9" ht="201.6" x14ac:dyDescent="0.3">
      <c r="A39" s="122" t="s">
        <v>70</v>
      </c>
      <c r="B39" s="122"/>
      <c r="C39" s="40" t="s">
        <v>372</v>
      </c>
      <c r="D39" s="40" t="s">
        <v>382</v>
      </c>
      <c r="E39" s="40" t="s">
        <v>322</v>
      </c>
      <c r="F39" s="40" t="s">
        <v>389</v>
      </c>
      <c r="G39" s="40" t="s">
        <v>376</v>
      </c>
      <c r="H39" s="40" t="s">
        <v>398</v>
      </c>
      <c r="I39" s="40" t="s">
        <v>637</v>
      </c>
    </row>
    <row r="40" spans="1:9" ht="100.8" x14ac:dyDescent="0.3">
      <c r="A40" s="122" t="s">
        <v>71</v>
      </c>
      <c r="B40" s="122"/>
      <c r="C40" s="40" t="s">
        <v>369</v>
      </c>
      <c r="D40" s="40" t="s">
        <v>380</v>
      </c>
      <c r="E40" s="40" t="s">
        <v>325</v>
      </c>
      <c r="F40" s="40" t="s">
        <v>390</v>
      </c>
      <c r="G40" s="40" t="s">
        <v>108</v>
      </c>
      <c r="H40" s="40" t="s">
        <v>400</v>
      </c>
      <c r="I40" s="40" t="s">
        <v>638</v>
      </c>
    </row>
    <row r="41" spans="1:9" ht="135" customHeight="1" x14ac:dyDescent="0.3">
      <c r="A41" s="132" t="s">
        <v>803</v>
      </c>
      <c r="B41" s="122"/>
      <c r="C41" s="40" t="s">
        <v>108</v>
      </c>
      <c r="D41" s="40"/>
      <c r="E41" s="40" t="s">
        <v>108</v>
      </c>
      <c r="F41" s="40" t="s">
        <v>108</v>
      </c>
      <c r="G41" s="40" t="s">
        <v>108</v>
      </c>
      <c r="H41" s="40" t="s">
        <v>108</v>
      </c>
      <c r="I41" s="43" t="s">
        <v>634</v>
      </c>
    </row>
    <row r="42" spans="1:9" ht="172.8" x14ac:dyDescent="0.3">
      <c r="A42" s="122" t="s">
        <v>73</v>
      </c>
      <c r="B42" s="122"/>
      <c r="C42" s="40" t="s">
        <v>108</v>
      </c>
      <c r="D42" s="40"/>
      <c r="E42" s="40" t="s">
        <v>108</v>
      </c>
      <c r="F42" s="40" t="s">
        <v>108</v>
      </c>
      <c r="G42" s="40" t="s">
        <v>108</v>
      </c>
      <c r="H42" s="40" t="s">
        <v>108</v>
      </c>
      <c r="I42" s="40" t="s">
        <v>640</v>
      </c>
    </row>
    <row r="43" spans="1:9" ht="187.2" x14ac:dyDescent="0.3">
      <c r="A43" s="122" t="s">
        <v>74</v>
      </c>
      <c r="B43" s="122"/>
      <c r="C43" s="40" t="s">
        <v>368</v>
      </c>
      <c r="D43" s="40"/>
      <c r="E43" s="40" t="s">
        <v>108</v>
      </c>
      <c r="F43" s="40" t="s">
        <v>108</v>
      </c>
      <c r="G43" s="40" t="s">
        <v>108</v>
      </c>
      <c r="H43" s="40" t="s">
        <v>362</v>
      </c>
      <c r="I43" s="40" t="s">
        <v>639</v>
      </c>
    </row>
  </sheetData>
  <mergeCells count="23">
    <mergeCell ref="A21:B21"/>
    <mergeCell ref="A23:B23"/>
    <mergeCell ref="A24:B24"/>
    <mergeCell ref="A25:B25"/>
    <mergeCell ref="A26:B26"/>
    <mergeCell ref="A27:A35"/>
    <mergeCell ref="A43:B43"/>
    <mergeCell ref="A37:B37"/>
    <mergeCell ref="A38:B38"/>
    <mergeCell ref="A39:B39"/>
    <mergeCell ref="A40:B40"/>
    <mergeCell ref="A41:B41"/>
    <mergeCell ref="A42:B42"/>
    <mergeCell ref="A19:B19"/>
    <mergeCell ref="A20:B20"/>
    <mergeCell ref="H4:H14"/>
    <mergeCell ref="C4:E4"/>
    <mergeCell ref="G4:G14"/>
    <mergeCell ref="A6:A14"/>
    <mergeCell ref="A5:B5"/>
    <mergeCell ref="A4:B4"/>
    <mergeCell ref="A17:B17"/>
    <mergeCell ref="A18:B1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43"/>
  <sheetViews>
    <sheetView zoomScale="70" zoomScaleNormal="70" workbookViewId="0">
      <selection activeCell="E18" sqref="E18"/>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81</v>
      </c>
      <c r="B1" s="25"/>
    </row>
    <row r="2" spans="1:8" ht="48" customHeight="1" x14ac:dyDescent="0.3">
      <c r="A2" s="21" t="s">
        <v>33</v>
      </c>
    </row>
    <row r="3" spans="1:8" ht="43.2" x14ac:dyDescent="0.3">
      <c r="C3" s="15" t="s">
        <v>28</v>
      </c>
      <c r="D3" s="15" t="s">
        <v>30</v>
      </c>
      <c r="E3" s="15" t="s">
        <v>29</v>
      </c>
      <c r="F3" s="14" t="s">
        <v>124</v>
      </c>
      <c r="G3" s="14" t="s">
        <v>31</v>
      </c>
      <c r="H3" s="14" t="s">
        <v>32</v>
      </c>
    </row>
    <row r="4" spans="1:8" ht="25.5" customHeight="1" x14ac:dyDescent="0.3">
      <c r="A4" s="139" t="s">
        <v>34</v>
      </c>
      <c r="B4" s="139"/>
      <c r="C4" s="126" t="s">
        <v>436</v>
      </c>
      <c r="D4" s="127"/>
      <c r="E4" s="128"/>
      <c r="F4" s="37">
        <v>4</v>
      </c>
      <c r="G4" s="123" t="s">
        <v>437</v>
      </c>
      <c r="H4" s="123" t="s">
        <v>438</v>
      </c>
    </row>
    <row r="5" spans="1:8" x14ac:dyDescent="0.3">
      <c r="A5" s="139" t="s">
        <v>48</v>
      </c>
      <c r="B5" s="139"/>
      <c r="C5" s="55">
        <v>20</v>
      </c>
      <c r="D5" s="55">
        <f>ROUND(AVERAGE(30,37.5,F26),-1)</f>
        <v>40</v>
      </c>
      <c r="E5" s="54">
        <v>40</v>
      </c>
      <c r="F5" s="37">
        <v>3</v>
      </c>
      <c r="G5" s="124"/>
      <c r="H5" s="142"/>
    </row>
    <row r="6" spans="1:8" x14ac:dyDescent="0.3">
      <c r="A6" s="141" t="s">
        <v>3</v>
      </c>
      <c r="B6" s="20" t="s">
        <v>39</v>
      </c>
      <c r="C6" s="55" t="s">
        <v>108</v>
      </c>
      <c r="D6" s="55" t="s">
        <v>108</v>
      </c>
      <c r="E6" s="55" t="s">
        <v>108</v>
      </c>
      <c r="F6" s="37">
        <v>0</v>
      </c>
      <c r="G6" s="124"/>
      <c r="H6" s="142"/>
    </row>
    <row r="7" spans="1:8" x14ac:dyDescent="0.3">
      <c r="A7" s="141"/>
      <c r="B7" s="20" t="s">
        <v>40</v>
      </c>
      <c r="C7" s="55" t="s">
        <v>108</v>
      </c>
      <c r="D7" s="55" t="s">
        <v>108</v>
      </c>
      <c r="E7" s="55" t="s">
        <v>108</v>
      </c>
      <c r="F7" s="37">
        <v>0</v>
      </c>
      <c r="G7" s="124"/>
      <c r="H7" s="142"/>
    </row>
    <row r="8" spans="1:8" x14ac:dyDescent="0.3">
      <c r="A8" s="141"/>
      <c r="B8" s="20" t="s">
        <v>41</v>
      </c>
      <c r="C8" s="55">
        <f t="shared" ref="C8:C13" si="0">ROUND(E29,-2)</f>
        <v>1300</v>
      </c>
      <c r="D8" s="55">
        <f>ROUND(AVERAGE(E29,F29),-2)</f>
        <v>1600</v>
      </c>
      <c r="E8" s="54">
        <f>F29</f>
        <v>2000</v>
      </c>
      <c r="F8" s="37">
        <v>2</v>
      </c>
      <c r="G8" s="124"/>
      <c r="H8" s="142"/>
    </row>
    <row r="9" spans="1:8" x14ac:dyDescent="0.3">
      <c r="A9" s="141"/>
      <c r="B9" s="20" t="s">
        <v>42</v>
      </c>
      <c r="C9" s="55">
        <f t="shared" si="0"/>
        <v>1900</v>
      </c>
      <c r="D9" s="55">
        <f>C9</f>
        <v>1900</v>
      </c>
      <c r="E9" s="54">
        <f>C9</f>
        <v>1900</v>
      </c>
      <c r="F9" s="37">
        <v>1</v>
      </c>
      <c r="G9" s="124"/>
      <c r="H9" s="142"/>
    </row>
    <row r="10" spans="1:8" x14ac:dyDescent="0.3">
      <c r="A10" s="141"/>
      <c r="B10" s="20" t="s">
        <v>97</v>
      </c>
      <c r="C10" s="55">
        <f t="shared" si="0"/>
        <v>1900</v>
      </c>
      <c r="D10" s="55">
        <f>ROUND(AVERAGE(E31,F31),-2)</f>
        <v>2200</v>
      </c>
      <c r="E10" s="54">
        <f>F31</f>
        <v>2500</v>
      </c>
      <c r="F10" s="37">
        <v>2</v>
      </c>
      <c r="G10" s="124"/>
      <c r="H10" s="142"/>
    </row>
    <row r="11" spans="1:8" x14ac:dyDescent="0.3">
      <c r="A11" s="141"/>
      <c r="B11" s="20" t="s">
        <v>98</v>
      </c>
      <c r="C11" s="55">
        <f t="shared" si="0"/>
        <v>2300</v>
      </c>
      <c r="D11" s="55">
        <f>C11</f>
        <v>2300</v>
      </c>
      <c r="E11" s="54">
        <f>C11</f>
        <v>2300</v>
      </c>
      <c r="F11" s="37">
        <v>1</v>
      </c>
      <c r="G11" s="124"/>
      <c r="H11" s="142"/>
    </row>
    <row r="12" spans="1:8" x14ac:dyDescent="0.3">
      <c r="A12" s="141"/>
      <c r="B12" s="20" t="s">
        <v>43</v>
      </c>
      <c r="C12" s="55">
        <f t="shared" si="0"/>
        <v>2300</v>
      </c>
      <c r="D12" s="55">
        <f>C12</f>
        <v>2300</v>
      </c>
      <c r="E12" s="54">
        <f>C12</f>
        <v>2300</v>
      </c>
      <c r="F12" s="37">
        <v>1</v>
      </c>
      <c r="G12" s="124"/>
      <c r="H12" s="142"/>
    </row>
    <row r="13" spans="1:8" x14ac:dyDescent="0.3">
      <c r="A13" s="141"/>
      <c r="B13" s="20" t="s">
        <v>44</v>
      </c>
      <c r="C13" s="55">
        <f t="shared" si="0"/>
        <v>3000</v>
      </c>
      <c r="D13" s="55">
        <f>ROUND(AVERAGE(3000,3250),-2)</f>
        <v>3100</v>
      </c>
      <c r="E13" s="54">
        <v>3500</v>
      </c>
      <c r="F13" s="37">
        <v>2</v>
      </c>
      <c r="G13" s="124"/>
      <c r="H13" s="142"/>
    </row>
    <row r="14" spans="1:8" x14ac:dyDescent="0.3">
      <c r="A14" s="141"/>
      <c r="B14" s="20" t="s">
        <v>45</v>
      </c>
      <c r="C14" s="55">
        <f>ROUND(F35,-2)</f>
        <v>2500</v>
      </c>
      <c r="D14" s="55">
        <f>ROUND(AVERAGE(E35,F35),-2)</f>
        <v>2800</v>
      </c>
      <c r="E14" s="54">
        <f>E35</f>
        <v>3000</v>
      </c>
      <c r="F14" s="37">
        <v>2</v>
      </c>
      <c r="G14" s="125"/>
      <c r="H14" s="143"/>
    </row>
    <row r="15" spans="1:8" ht="44.25" customHeight="1" x14ac:dyDescent="0.3">
      <c r="A15" s="21" t="s">
        <v>49</v>
      </c>
      <c r="C15" s="62">
        <v>10</v>
      </c>
      <c r="D15" s="62">
        <v>28</v>
      </c>
      <c r="E15" s="62">
        <v>29</v>
      </c>
      <c r="F15" s="62">
        <v>31</v>
      </c>
      <c r="G15" s="62">
        <v>32</v>
      </c>
    </row>
    <row r="16" spans="1:8" x14ac:dyDescent="0.3">
      <c r="B16" s="13" t="s">
        <v>26</v>
      </c>
      <c r="C16" s="18">
        <v>1</v>
      </c>
      <c r="D16" s="18">
        <v>2</v>
      </c>
      <c r="E16" s="18">
        <v>3</v>
      </c>
      <c r="F16" s="18">
        <v>4</v>
      </c>
      <c r="G16" s="18">
        <v>5</v>
      </c>
    </row>
    <row r="17" spans="1:12" x14ac:dyDescent="0.3">
      <c r="A17" s="139" t="s">
        <v>35</v>
      </c>
      <c r="B17" s="139"/>
      <c r="C17" s="37" t="s">
        <v>142</v>
      </c>
      <c r="D17" s="37" t="s">
        <v>30</v>
      </c>
      <c r="E17" s="37" t="s">
        <v>804</v>
      </c>
      <c r="F17" s="37" t="s">
        <v>142</v>
      </c>
      <c r="G17" s="37" t="s">
        <v>142</v>
      </c>
    </row>
    <row r="18" spans="1:12" ht="100.8" x14ac:dyDescent="0.3">
      <c r="A18" s="139" t="s">
        <v>36</v>
      </c>
      <c r="B18" s="139"/>
      <c r="C18" s="43" t="s">
        <v>158</v>
      </c>
      <c r="D18" s="43" t="s">
        <v>413</v>
      </c>
      <c r="E18" s="43" t="s">
        <v>414</v>
      </c>
      <c r="F18" s="37" t="s">
        <v>421</v>
      </c>
      <c r="G18" s="43" t="s">
        <v>430</v>
      </c>
    </row>
    <row r="19" spans="1:12" ht="28.8" x14ac:dyDescent="0.3">
      <c r="A19" s="139" t="s">
        <v>37</v>
      </c>
      <c r="B19" s="139"/>
      <c r="C19" s="37" t="s">
        <v>143</v>
      </c>
      <c r="D19" s="37" t="s">
        <v>100</v>
      </c>
      <c r="E19" s="43" t="s">
        <v>415</v>
      </c>
      <c r="F19" s="37" t="s">
        <v>108</v>
      </c>
      <c r="G19" s="37" t="s">
        <v>108</v>
      </c>
    </row>
    <row r="20" spans="1:12" ht="28.8" x14ac:dyDescent="0.3">
      <c r="A20" s="140" t="s">
        <v>38</v>
      </c>
      <c r="B20" s="140"/>
      <c r="C20" s="37" t="s">
        <v>115</v>
      </c>
      <c r="D20" s="43" t="s">
        <v>305</v>
      </c>
      <c r="E20" s="43" t="s">
        <v>305</v>
      </c>
      <c r="F20" s="37" t="s">
        <v>343</v>
      </c>
      <c r="G20" s="37" t="s">
        <v>115</v>
      </c>
    </row>
    <row r="21" spans="1:12" x14ac:dyDescent="0.3">
      <c r="A21" s="122" t="s">
        <v>27</v>
      </c>
      <c r="B21" s="122"/>
      <c r="C21" s="37">
        <v>4</v>
      </c>
      <c r="D21" s="37">
        <v>3</v>
      </c>
      <c r="E21" s="37">
        <v>4</v>
      </c>
      <c r="F21" s="37">
        <v>4</v>
      </c>
      <c r="G21" s="37">
        <v>2</v>
      </c>
      <c r="J21" s="58"/>
      <c r="K21" s="58"/>
      <c r="L21" s="36"/>
    </row>
    <row r="22" spans="1:12" x14ac:dyDescent="0.3">
      <c r="C22" s="38"/>
      <c r="D22" s="16"/>
      <c r="E22" s="16"/>
      <c r="F22" s="16"/>
      <c r="G22" s="16"/>
    </row>
    <row r="23" spans="1:12" ht="72" x14ac:dyDescent="0.3">
      <c r="A23" s="122" t="s">
        <v>2</v>
      </c>
      <c r="B23" s="122"/>
      <c r="C23" s="55" t="s">
        <v>108</v>
      </c>
      <c r="D23" s="55" t="s">
        <v>108</v>
      </c>
      <c r="E23" s="55" t="s">
        <v>108</v>
      </c>
      <c r="F23" s="41" t="s">
        <v>423</v>
      </c>
      <c r="G23" s="41" t="s">
        <v>435</v>
      </c>
    </row>
    <row r="24" spans="1:12" x14ac:dyDescent="0.3">
      <c r="A24" s="122" t="s">
        <v>13</v>
      </c>
      <c r="B24" s="122"/>
      <c r="C24" s="55" t="s">
        <v>105</v>
      </c>
      <c r="D24" s="55" t="s">
        <v>108</v>
      </c>
      <c r="E24" s="55" t="s">
        <v>108</v>
      </c>
      <c r="F24" s="55">
        <v>2700</v>
      </c>
      <c r="G24" s="55">
        <v>5500</v>
      </c>
    </row>
    <row r="25" spans="1:12" ht="43.2" x14ac:dyDescent="0.3">
      <c r="A25" s="122" t="s">
        <v>1</v>
      </c>
      <c r="B25" s="122"/>
      <c r="C25" s="55" t="s">
        <v>101</v>
      </c>
      <c r="D25" s="55" t="s">
        <v>108</v>
      </c>
      <c r="E25" s="55" t="s">
        <v>416</v>
      </c>
      <c r="F25" s="41" t="s">
        <v>422</v>
      </c>
      <c r="G25" s="41" t="s">
        <v>431</v>
      </c>
    </row>
    <row r="26" spans="1:12" ht="72" x14ac:dyDescent="0.3">
      <c r="A26" s="122" t="s">
        <v>319</v>
      </c>
      <c r="B26" s="122"/>
      <c r="C26" s="98" t="s">
        <v>429</v>
      </c>
      <c r="D26" s="55" t="s">
        <v>410</v>
      </c>
      <c r="E26" s="55" t="s">
        <v>420</v>
      </c>
      <c r="F26" s="55">
        <v>40</v>
      </c>
      <c r="G26" s="55" t="s">
        <v>108</v>
      </c>
    </row>
    <row r="27" spans="1:12" ht="28.95" customHeight="1" x14ac:dyDescent="0.3">
      <c r="A27" s="133" t="s">
        <v>3</v>
      </c>
      <c r="B27" s="19" t="s">
        <v>39</v>
      </c>
      <c r="C27" s="55" t="s">
        <v>108</v>
      </c>
      <c r="D27" s="55" t="s">
        <v>108</v>
      </c>
      <c r="E27" s="123" t="s">
        <v>426</v>
      </c>
      <c r="F27" s="123" t="s">
        <v>426</v>
      </c>
      <c r="G27" s="55" t="s">
        <v>108</v>
      </c>
    </row>
    <row r="28" spans="1:12" x14ac:dyDescent="0.3">
      <c r="A28" s="134"/>
      <c r="B28" s="19" t="s">
        <v>40</v>
      </c>
      <c r="C28" s="55" t="s">
        <v>108</v>
      </c>
      <c r="D28" s="55" t="s">
        <v>108</v>
      </c>
      <c r="E28" s="125"/>
      <c r="F28" s="125"/>
      <c r="G28" s="55" t="s">
        <v>108</v>
      </c>
    </row>
    <row r="29" spans="1:12" x14ac:dyDescent="0.3">
      <c r="A29" s="134"/>
      <c r="B29" s="19" t="s">
        <v>41</v>
      </c>
      <c r="C29" s="55" t="s">
        <v>108</v>
      </c>
      <c r="D29" s="55" t="s">
        <v>108</v>
      </c>
      <c r="E29" s="55">
        <v>1250</v>
      </c>
      <c r="F29" s="55">
        <v>2000</v>
      </c>
      <c r="G29" s="55" t="s">
        <v>108</v>
      </c>
    </row>
    <row r="30" spans="1:12" x14ac:dyDescent="0.3">
      <c r="A30" s="134"/>
      <c r="B30" s="19" t="s">
        <v>42</v>
      </c>
      <c r="C30" s="55" t="s">
        <v>108</v>
      </c>
      <c r="D30" s="55" t="s">
        <v>108</v>
      </c>
      <c r="E30" s="55">
        <v>1875</v>
      </c>
      <c r="F30" s="55" t="s">
        <v>108</v>
      </c>
      <c r="G30" s="55" t="s">
        <v>108</v>
      </c>
    </row>
    <row r="31" spans="1:12" x14ac:dyDescent="0.3">
      <c r="A31" s="134"/>
      <c r="B31" s="19" t="s">
        <v>97</v>
      </c>
      <c r="C31" s="55" t="s">
        <v>108</v>
      </c>
      <c r="D31" s="55" t="s">
        <v>108</v>
      </c>
      <c r="E31" s="55">
        <v>1875</v>
      </c>
      <c r="F31" s="55">
        <v>2500</v>
      </c>
      <c r="G31" s="55" t="s">
        <v>108</v>
      </c>
    </row>
    <row r="32" spans="1:12" x14ac:dyDescent="0.3">
      <c r="A32" s="134"/>
      <c r="B32" s="19" t="s">
        <v>98</v>
      </c>
      <c r="C32" s="55" t="s">
        <v>108</v>
      </c>
      <c r="D32" s="55" t="s">
        <v>108</v>
      </c>
      <c r="E32" s="55">
        <v>2250</v>
      </c>
      <c r="F32" s="55" t="s">
        <v>108</v>
      </c>
      <c r="G32" s="55" t="s">
        <v>108</v>
      </c>
    </row>
    <row r="33" spans="1:7" x14ac:dyDescent="0.3">
      <c r="A33" s="134"/>
      <c r="B33" s="19" t="s">
        <v>43</v>
      </c>
      <c r="C33" s="55" t="s">
        <v>108</v>
      </c>
      <c r="D33" s="55" t="s">
        <v>108</v>
      </c>
      <c r="E33" s="55">
        <v>2250</v>
      </c>
      <c r="F33" s="55" t="s">
        <v>108</v>
      </c>
      <c r="G33" s="55" t="s">
        <v>108</v>
      </c>
    </row>
    <row r="34" spans="1:7" x14ac:dyDescent="0.3">
      <c r="A34" s="134"/>
      <c r="B34" s="19" t="s">
        <v>44</v>
      </c>
      <c r="C34" s="55" t="s">
        <v>108</v>
      </c>
      <c r="D34" s="55" t="s">
        <v>108</v>
      </c>
      <c r="E34" s="55">
        <v>3000</v>
      </c>
      <c r="F34" s="55" t="s">
        <v>427</v>
      </c>
      <c r="G34" s="55" t="s">
        <v>108</v>
      </c>
    </row>
    <row r="35" spans="1:7" x14ac:dyDescent="0.3">
      <c r="A35" s="135"/>
      <c r="B35" s="19" t="s">
        <v>45</v>
      </c>
      <c r="C35" s="55" t="s">
        <v>108</v>
      </c>
      <c r="D35" s="55" t="s">
        <v>108</v>
      </c>
      <c r="E35" s="55">
        <v>3000</v>
      </c>
      <c r="F35" s="55">
        <v>2500</v>
      </c>
      <c r="G35" s="55" t="s">
        <v>108</v>
      </c>
    </row>
    <row r="36" spans="1:7" x14ac:dyDescent="0.3">
      <c r="C36" s="38"/>
      <c r="D36" s="38"/>
      <c r="E36" s="38"/>
      <c r="F36" s="38"/>
      <c r="G36" s="38"/>
    </row>
    <row r="37" spans="1:7" x14ac:dyDescent="0.3">
      <c r="A37" s="122" t="s">
        <v>68</v>
      </c>
      <c r="B37" s="122"/>
      <c r="C37" s="55" t="s">
        <v>108</v>
      </c>
      <c r="D37" s="55" t="s">
        <v>108</v>
      </c>
      <c r="E37" s="40" t="s">
        <v>108</v>
      </c>
      <c r="F37" s="40" t="s">
        <v>108</v>
      </c>
      <c r="G37" s="40" t="s">
        <v>432</v>
      </c>
    </row>
    <row r="38" spans="1:7" ht="72" x14ac:dyDescent="0.3">
      <c r="A38" s="122" t="s">
        <v>69</v>
      </c>
      <c r="B38" s="122"/>
      <c r="C38" s="55" t="s">
        <v>108</v>
      </c>
      <c r="D38" s="41" t="s">
        <v>411</v>
      </c>
      <c r="E38" s="40" t="s">
        <v>418</v>
      </c>
      <c r="F38" s="40" t="s">
        <v>108</v>
      </c>
      <c r="G38" s="40" t="s">
        <v>108</v>
      </c>
    </row>
    <row r="39" spans="1:7" ht="288" x14ac:dyDescent="0.3">
      <c r="A39" s="122" t="s">
        <v>70</v>
      </c>
      <c r="B39" s="122"/>
      <c r="C39" s="55" t="s">
        <v>108</v>
      </c>
      <c r="D39" s="40" t="s">
        <v>425</v>
      </c>
      <c r="E39" s="40" t="s">
        <v>424</v>
      </c>
      <c r="F39" s="40" t="s">
        <v>428</v>
      </c>
      <c r="G39" s="40" t="s">
        <v>433</v>
      </c>
    </row>
    <row r="40" spans="1:7" ht="100.8" x14ac:dyDescent="0.3">
      <c r="A40" s="122" t="s">
        <v>71</v>
      </c>
      <c r="B40" s="122"/>
      <c r="C40" s="55" t="s">
        <v>108</v>
      </c>
      <c r="D40" s="41" t="s">
        <v>412</v>
      </c>
      <c r="E40" s="40" t="s">
        <v>419</v>
      </c>
      <c r="F40" s="40" t="s">
        <v>108</v>
      </c>
      <c r="G40" s="40" t="s">
        <v>434</v>
      </c>
    </row>
    <row r="41" spans="1:7" ht="15" customHeight="1" x14ac:dyDescent="0.3">
      <c r="A41" s="132" t="s">
        <v>803</v>
      </c>
      <c r="B41" s="122"/>
      <c r="C41" s="55" t="s">
        <v>108</v>
      </c>
      <c r="D41" s="55" t="s">
        <v>108</v>
      </c>
      <c r="E41" s="40" t="s">
        <v>108</v>
      </c>
      <c r="F41" s="40" t="s">
        <v>108</v>
      </c>
      <c r="G41" s="40" t="s">
        <v>108</v>
      </c>
    </row>
    <row r="42" spans="1:7" x14ac:dyDescent="0.3">
      <c r="A42" s="122" t="s">
        <v>73</v>
      </c>
      <c r="B42" s="122"/>
      <c r="C42" s="55" t="s">
        <v>108</v>
      </c>
      <c r="D42" s="55" t="s">
        <v>108</v>
      </c>
      <c r="E42" s="40" t="s">
        <v>108</v>
      </c>
      <c r="F42" s="40" t="s">
        <v>108</v>
      </c>
      <c r="G42" s="40" t="s">
        <v>108</v>
      </c>
    </row>
    <row r="43" spans="1:7" ht="43.2" x14ac:dyDescent="0.3">
      <c r="A43" s="122" t="s">
        <v>74</v>
      </c>
      <c r="B43" s="122"/>
      <c r="C43" s="55" t="s">
        <v>108</v>
      </c>
      <c r="D43" s="55" t="s">
        <v>108</v>
      </c>
      <c r="E43" s="40" t="s">
        <v>441</v>
      </c>
      <c r="F43" s="40" t="s">
        <v>108</v>
      </c>
      <c r="G43" s="40" t="s">
        <v>108</v>
      </c>
    </row>
  </sheetData>
  <mergeCells count="25">
    <mergeCell ref="A42:B42"/>
    <mergeCell ref="A43:B43"/>
    <mergeCell ref="A38:B38"/>
    <mergeCell ref="A17:B17"/>
    <mergeCell ref="A18:B18"/>
    <mergeCell ref="A19:B19"/>
    <mergeCell ref="A20:B20"/>
    <mergeCell ref="A23:B23"/>
    <mergeCell ref="A24:B24"/>
    <mergeCell ref="A25:B25"/>
    <mergeCell ref="A26:B26"/>
    <mergeCell ref="A27:A35"/>
    <mergeCell ref="A37:B37"/>
    <mergeCell ref="A39:B39"/>
    <mergeCell ref="A40:B40"/>
    <mergeCell ref="A41:B41"/>
    <mergeCell ref="F27:F28"/>
    <mergeCell ref="A4:B4"/>
    <mergeCell ref="C4:E4"/>
    <mergeCell ref="G4:G14"/>
    <mergeCell ref="H4:H14"/>
    <mergeCell ref="A5:B5"/>
    <mergeCell ref="A6:A14"/>
    <mergeCell ref="E27:E28"/>
    <mergeCell ref="A21:B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L43"/>
  <sheetViews>
    <sheetView zoomScale="70" zoomScaleNormal="70" workbookViewId="0">
      <selection activeCell="D18" sqref="D18"/>
    </sheetView>
  </sheetViews>
  <sheetFormatPr defaultColWidth="9.109375" defaultRowHeight="14.4" x14ac:dyDescent="0.3"/>
  <cols>
    <col min="1" max="1" width="11.109375" style="1" customWidth="1"/>
    <col min="2" max="2" width="45.33203125" style="1" customWidth="1"/>
    <col min="3" max="8" width="16.6640625" style="1" customWidth="1"/>
    <col min="9" max="9" width="10.44140625" style="1" customWidth="1"/>
    <col min="10" max="10" width="8.88671875" style="1" customWidth="1"/>
    <col min="11" max="16384" width="9.109375" style="1"/>
  </cols>
  <sheetData>
    <row r="1" spans="1:8" x14ac:dyDescent="0.3">
      <c r="A1" s="24" t="s">
        <v>82</v>
      </c>
      <c r="B1" s="25"/>
    </row>
    <row r="2" spans="1:8" ht="48" customHeight="1" x14ac:dyDescent="0.3">
      <c r="A2" s="21" t="s">
        <v>33</v>
      </c>
    </row>
    <row r="3" spans="1:8" ht="43.2" x14ac:dyDescent="0.3">
      <c r="C3" s="15" t="s">
        <v>28</v>
      </c>
      <c r="D3" s="15" t="s">
        <v>30</v>
      </c>
      <c r="E3" s="15" t="s">
        <v>29</v>
      </c>
      <c r="F3" s="14" t="s">
        <v>124</v>
      </c>
      <c r="G3" s="14" t="s">
        <v>31</v>
      </c>
      <c r="H3" s="14" t="s">
        <v>32</v>
      </c>
    </row>
    <row r="4" spans="1:8" x14ac:dyDescent="0.3">
      <c r="A4" s="139" t="s">
        <v>34</v>
      </c>
      <c r="B4" s="139"/>
      <c r="C4" s="136" t="s">
        <v>448</v>
      </c>
      <c r="D4" s="137"/>
      <c r="E4" s="138"/>
      <c r="F4" s="37">
        <v>2</v>
      </c>
      <c r="G4" s="123" t="s">
        <v>449</v>
      </c>
      <c r="H4" s="123" t="s">
        <v>451</v>
      </c>
    </row>
    <row r="5" spans="1:8" x14ac:dyDescent="0.3">
      <c r="A5" s="139" t="s">
        <v>48</v>
      </c>
      <c r="B5" s="139"/>
      <c r="C5" s="55">
        <f>D26</f>
        <v>50</v>
      </c>
      <c r="D5" s="55">
        <f>ROUND(AVERAGE(C26,D26),-1)</f>
        <v>80</v>
      </c>
      <c r="E5" s="54">
        <f>C26</f>
        <v>100</v>
      </c>
      <c r="F5" s="37">
        <v>2</v>
      </c>
      <c r="G5" s="124"/>
      <c r="H5" s="124"/>
    </row>
    <row r="6" spans="1:8" x14ac:dyDescent="0.3">
      <c r="A6" s="141" t="s">
        <v>3</v>
      </c>
      <c r="B6" s="20" t="s">
        <v>39</v>
      </c>
      <c r="C6" s="55" t="s">
        <v>108</v>
      </c>
      <c r="D6" s="55" t="s">
        <v>108</v>
      </c>
      <c r="E6" s="55" t="s">
        <v>108</v>
      </c>
      <c r="F6" s="37">
        <v>0</v>
      </c>
      <c r="G6" s="124"/>
      <c r="H6" s="124"/>
    </row>
    <row r="7" spans="1:8" x14ac:dyDescent="0.3">
      <c r="A7" s="141"/>
      <c r="B7" s="20" t="s">
        <v>40</v>
      </c>
      <c r="C7" s="55" t="s">
        <v>108</v>
      </c>
      <c r="D7" s="55" t="s">
        <v>108</v>
      </c>
      <c r="E7" s="55" t="s">
        <v>108</v>
      </c>
      <c r="F7" s="37">
        <v>0</v>
      </c>
      <c r="G7" s="124"/>
      <c r="H7" s="124"/>
    </row>
    <row r="8" spans="1:8" x14ac:dyDescent="0.3">
      <c r="A8" s="141"/>
      <c r="B8" s="20" t="s">
        <v>41</v>
      </c>
      <c r="C8" s="55" t="s">
        <v>108</v>
      </c>
      <c r="D8" s="55" t="s">
        <v>108</v>
      </c>
      <c r="E8" s="55" t="s">
        <v>108</v>
      </c>
      <c r="F8" s="37">
        <v>0</v>
      </c>
      <c r="G8" s="124"/>
      <c r="H8" s="124"/>
    </row>
    <row r="9" spans="1:8" x14ac:dyDescent="0.3">
      <c r="A9" s="141"/>
      <c r="B9" s="20" t="s">
        <v>42</v>
      </c>
      <c r="C9" s="55" t="s">
        <v>108</v>
      </c>
      <c r="D9" s="55" t="s">
        <v>108</v>
      </c>
      <c r="E9" s="55" t="s">
        <v>108</v>
      </c>
      <c r="F9" s="37">
        <v>0</v>
      </c>
      <c r="G9" s="124"/>
      <c r="H9" s="124"/>
    </row>
    <row r="10" spans="1:8" x14ac:dyDescent="0.3">
      <c r="A10" s="141"/>
      <c r="B10" s="20" t="s">
        <v>97</v>
      </c>
      <c r="C10" s="55" t="s">
        <v>108</v>
      </c>
      <c r="D10" s="55" t="s">
        <v>108</v>
      </c>
      <c r="E10" s="55" t="s">
        <v>108</v>
      </c>
      <c r="F10" s="37">
        <v>0</v>
      </c>
      <c r="G10" s="124"/>
      <c r="H10" s="124"/>
    </row>
    <row r="11" spans="1:8" x14ac:dyDescent="0.3">
      <c r="A11" s="141"/>
      <c r="B11" s="20" t="s">
        <v>98</v>
      </c>
      <c r="C11" s="55" t="s">
        <v>108</v>
      </c>
      <c r="D11" s="55" t="s">
        <v>108</v>
      </c>
      <c r="E11" s="55" t="s">
        <v>108</v>
      </c>
      <c r="F11" s="37">
        <v>0</v>
      </c>
      <c r="G11" s="124"/>
      <c r="H11" s="124"/>
    </row>
    <row r="12" spans="1:8" x14ac:dyDescent="0.3">
      <c r="A12" s="141"/>
      <c r="B12" s="20" t="s">
        <v>43</v>
      </c>
      <c r="C12" s="55" t="s">
        <v>108</v>
      </c>
      <c r="D12" s="55" t="s">
        <v>108</v>
      </c>
      <c r="E12" s="55" t="s">
        <v>108</v>
      </c>
      <c r="F12" s="37">
        <v>0</v>
      </c>
      <c r="G12" s="124"/>
      <c r="H12" s="124"/>
    </row>
    <row r="13" spans="1:8" x14ac:dyDescent="0.3">
      <c r="A13" s="141"/>
      <c r="B13" s="20" t="s">
        <v>44</v>
      </c>
      <c r="C13" s="55" t="s">
        <v>108</v>
      </c>
      <c r="D13" s="55" t="s">
        <v>108</v>
      </c>
      <c r="E13" s="55" t="s">
        <v>108</v>
      </c>
      <c r="F13" s="37">
        <v>0</v>
      </c>
      <c r="G13" s="124"/>
      <c r="H13" s="124"/>
    </row>
    <row r="14" spans="1:8" x14ac:dyDescent="0.3">
      <c r="A14" s="141"/>
      <c r="B14" s="20" t="s">
        <v>45</v>
      </c>
      <c r="C14" s="55" t="s">
        <v>108</v>
      </c>
      <c r="D14" s="55" t="s">
        <v>108</v>
      </c>
      <c r="E14" s="55" t="s">
        <v>108</v>
      </c>
      <c r="F14" s="37">
        <v>0</v>
      </c>
      <c r="G14" s="125"/>
      <c r="H14" s="125"/>
    </row>
    <row r="15" spans="1:8" ht="44.25" customHeight="1" x14ac:dyDescent="0.3">
      <c r="A15" s="21" t="s">
        <v>49</v>
      </c>
      <c r="C15" s="62">
        <v>10</v>
      </c>
      <c r="D15" s="62">
        <v>29</v>
      </c>
      <c r="E15" s="62">
        <v>30</v>
      </c>
      <c r="F15" s="62"/>
      <c r="G15" s="62"/>
      <c r="H15" s="62"/>
    </row>
    <row r="16" spans="1:8" x14ac:dyDescent="0.3">
      <c r="B16" s="13" t="s">
        <v>26</v>
      </c>
      <c r="C16" s="18">
        <v>1</v>
      </c>
      <c r="D16" s="18">
        <v>2</v>
      </c>
      <c r="E16" s="18">
        <v>3</v>
      </c>
      <c r="F16" s="62"/>
      <c r="G16" s="62"/>
      <c r="H16" s="62"/>
    </row>
    <row r="17" spans="1:12" x14ac:dyDescent="0.3">
      <c r="A17" s="139" t="s">
        <v>35</v>
      </c>
      <c r="B17" s="139"/>
      <c r="C17" s="37" t="s">
        <v>142</v>
      </c>
      <c r="D17" s="37" t="s">
        <v>804</v>
      </c>
      <c r="E17" s="37" t="s">
        <v>142</v>
      </c>
      <c r="F17" s="62"/>
      <c r="G17" s="62"/>
      <c r="H17" s="62"/>
    </row>
    <row r="18" spans="1:12" ht="86.4" x14ac:dyDescent="0.3">
      <c r="A18" s="139" t="s">
        <v>36</v>
      </c>
      <c r="B18" s="139"/>
      <c r="C18" s="43" t="s">
        <v>158</v>
      </c>
      <c r="D18" s="43" t="s">
        <v>414</v>
      </c>
      <c r="E18" s="37" t="s">
        <v>446</v>
      </c>
      <c r="F18" s="62"/>
      <c r="G18" s="62"/>
      <c r="H18" s="62"/>
    </row>
    <row r="19" spans="1:12" ht="28.8" x14ac:dyDescent="0.3">
      <c r="A19" s="139" t="s">
        <v>37</v>
      </c>
      <c r="B19" s="139"/>
      <c r="C19" s="37" t="s">
        <v>143</v>
      </c>
      <c r="D19" s="43" t="s">
        <v>415</v>
      </c>
      <c r="E19" s="43" t="s">
        <v>214</v>
      </c>
      <c r="F19" s="62"/>
      <c r="G19" s="62"/>
      <c r="H19" s="62"/>
    </row>
    <row r="20" spans="1:12" ht="28.8" x14ac:dyDescent="0.3">
      <c r="A20" s="140" t="s">
        <v>38</v>
      </c>
      <c r="B20" s="140"/>
      <c r="C20" s="37" t="s">
        <v>115</v>
      </c>
      <c r="D20" s="43" t="s">
        <v>305</v>
      </c>
      <c r="E20" s="37" t="s">
        <v>108</v>
      </c>
      <c r="F20" s="62"/>
      <c r="G20" s="62"/>
      <c r="H20" s="62"/>
    </row>
    <row r="21" spans="1:12" x14ac:dyDescent="0.3">
      <c r="A21" s="122" t="s">
        <v>27</v>
      </c>
      <c r="B21" s="122"/>
      <c r="C21" s="37">
        <v>4</v>
      </c>
      <c r="D21" s="37">
        <v>4</v>
      </c>
      <c r="E21" s="37" t="s">
        <v>797</v>
      </c>
      <c r="F21" s="62"/>
      <c r="G21" s="62"/>
      <c r="J21" s="58"/>
      <c r="K21" s="58"/>
      <c r="L21" s="36"/>
    </row>
    <row r="22" spans="1:12" x14ac:dyDescent="0.3">
      <c r="C22" s="38"/>
      <c r="D22" s="16"/>
      <c r="E22" s="16"/>
      <c r="F22" s="62"/>
      <c r="G22" s="62"/>
      <c r="H22" s="62"/>
    </row>
    <row r="23" spans="1:12" x14ac:dyDescent="0.3">
      <c r="A23" s="122" t="s">
        <v>2</v>
      </c>
      <c r="B23" s="122"/>
      <c r="C23" s="55" t="s">
        <v>108</v>
      </c>
      <c r="D23" s="55" t="s">
        <v>108</v>
      </c>
      <c r="E23" s="55" t="s">
        <v>108</v>
      </c>
      <c r="F23" s="62"/>
      <c r="G23" s="62"/>
      <c r="H23" s="62"/>
    </row>
    <row r="24" spans="1:12" x14ac:dyDescent="0.3">
      <c r="A24" s="122" t="s">
        <v>13</v>
      </c>
      <c r="B24" s="122"/>
      <c r="C24" s="55" t="s">
        <v>105</v>
      </c>
      <c r="D24" s="55" t="s">
        <v>108</v>
      </c>
      <c r="E24" s="55" t="s">
        <v>445</v>
      </c>
      <c r="F24" s="62"/>
      <c r="G24" s="62"/>
      <c r="H24" s="62"/>
    </row>
    <row r="25" spans="1:12" x14ac:dyDescent="0.3">
      <c r="A25" s="122" t="s">
        <v>1</v>
      </c>
      <c r="B25" s="122"/>
      <c r="C25" s="55" t="s">
        <v>101</v>
      </c>
      <c r="D25" s="55" t="s">
        <v>416</v>
      </c>
      <c r="E25" s="55" t="s">
        <v>447</v>
      </c>
      <c r="F25" s="62"/>
      <c r="G25" s="62"/>
      <c r="H25" s="62"/>
    </row>
    <row r="26" spans="1:12" x14ac:dyDescent="0.3">
      <c r="A26" s="122" t="s">
        <v>318</v>
      </c>
      <c r="B26" s="122"/>
      <c r="C26" s="55">
        <v>100</v>
      </c>
      <c r="D26" s="55">
        <v>50</v>
      </c>
      <c r="E26" s="55" t="s">
        <v>108</v>
      </c>
      <c r="F26" s="104" t="s">
        <v>408</v>
      </c>
      <c r="G26" s="62"/>
      <c r="H26" s="62"/>
    </row>
    <row r="27" spans="1:12" x14ac:dyDescent="0.3">
      <c r="A27" s="133" t="s">
        <v>3</v>
      </c>
      <c r="B27" s="19" t="s">
        <v>39</v>
      </c>
      <c r="C27" s="55" t="s">
        <v>108</v>
      </c>
      <c r="D27" s="55" t="s">
        <v>108</v>
      </c>
      <c r="E27" s="55" t="s">
        <v>108</v>
      </c>
      <c r="F27" s="62"/>
      <c r="G27" s="62"/>
      <c r="H27" s="62"/>
    </row>
    <row r="28" spans="1:12" x14ac:dyDescent="0.3">
      <c r="A28" s="134"/>
      <c r="B28" s="19" t="s">
        <v>40</v>
      </c>
      <c r="C28" s="55" t="s">
        <v>108</v>
      </c>
      <c r="D28" s="55" t="s">
        <v>108</v>
      </c>
      <c r="E28" s="55" t="s">
        <v>108</v>
      </c>
      <c r="F28" s="62"/>
      <c r="G28" s="62"/>
      <c r="H28" s="62"/>
    </row>
    <row r="29" spans="1:12" x14ac:dyDescent="0.3">
      <c r="A29" s="134"/>
      <c r="B29" s="19" t="s">
        <v>41</v>
      </c>
      <c r="C29" s="55" t="s">
        <v>108</v>
      </c>
      <c r="D29" s="55" t="s">
        <v>108</v>
      </c>
      <c r="E29" s="55" t="s">
        <v>108</v>
      </c>
      <c r="F29" s="62"/>
      <c r="G29" s="62"/>
      <c r="H29" s="62"/>
    </row>
    <row r="30" spans="1:12" x14ac:dyDescent="0.3">
      <c r="A30" s="134"/>
      <c r="B30" s="19" t="s">
        <v>42</v>
      </c>
      <c r="C30" s="55" t="s">
        <v>108</v>
      </c>
      <c r="D30" s="55" t="s">
        <v>108</v>
      </c>
      <c r="E30" s="55" t="s">
        <v>108</v>
      </c>
      <c r="F30" s="62"/>
      <c r="G30" s="62"/>
      <c r="H30" s="62"/>
    </row>
    <row r="31" spans="1:12" x14ac:dyDescent="0.3">
      <c r="A31" s="134"/>
      <c r="B31" s="19" t="s">
        <v>97</v>
      </c>
      <c r="C31" s="55" t="s">
        <v>108</v>
      </c>
      <c r="D31" s="55" t="s">
        <v>108</v>
      </c>
      <c r="E31" s="55" t="s">
        <v>108</v>
      </c>
      <c r="F31" s="62"/>
      <c r="G31" s="62"/>
      <c r="H31" s="62"/>
    </row>
    <row r="32" spans="1:12" x14ac:dyDescent="0.3">
      <c r="A32" s="134"/>
      <c r="B32" s="19" t="s">
        <v>98</v>
      </c>
      <c r="C32" s="55" t="s">
        <v>108</v>
      </c>
      <c r="D32" s="55" t="s">
        <v>108</v>
      </c>
      <c r="E32" s="55" t="s">
        <v>108</v>
      </c>
      <c r="F32" s="62"/>
      <c r="G32" s="62"/>
      <c r="H32" s="62"/>
    </row>
    <row r="33" spans="1:8" x14ac:dyDescent="0.3">
      <c r="A33" s="134"/>
      <c r="B33" s="19" t="s">
        <v>43</v>
      </c>
      <c r="C33" s="55" t="s">
        <v>108</v>
      </c>
      <c r="D33" s="55" t="s">
        <v>108</v>
      </c>
      <c r="E33" s="55" t="s">
        <v>108</v>
      </c>
      <c r="F33" s="62"/>
      <c r="G33" s="62"/>
      <c r="H33" s="62"/>
    </row>
    <row r="34" spans="1:8" x14ac:dyDescent="0.3">
      <c r="A34" s="134"/>
      <c r="B34" s="19" t="s">
        <v>44</v>
      </c>
      <c r="C34" s="55" t="s">
        <v>108</v>
      </c>
      <c r="D34" s="55" t="s">
        <v>108</v>
      </c>
      <c r="E34" s="55" t="s">
        <v>108</v>
      </c>
      <c r="F34" s="62"/>
      <c r="G34" s="62"/>
      <c r="H34" s="62"/>
    </row>
    <row r="35" spans="1:8" x14ac:dyDescent="0.3">
      <c r="A35" s="135"/>
      <c r="B35" s="19" t="s">
        <v>45</v>
      </c>
      <c r="C35" s="55" t="s">
        <v>108</v>
      </c>
      <c r="D35" s="55" t="s">
        <v>108</v>
      </c>
      <c r="E35" s="55" t="s">
        <v>108</v>
      </c>
      <c r="F35" s="62"/>
      <c r="G35" s="62"/>
      <c r="H35" s="62"/>
    </row>
    <row r="36" spans="1:8" x14ac:dyDescent="0.3">
      <c r="C36" s="38"/>
      <c r="D36" s="38"/>
      <c r="E36" s="38"/>
      <c r="F36" s="62"/>
      <c r="G36" s="62"/>
      <c r="H36" s="62"/>
    </row>
    <row r="37" spans="1:8" ht="43.2" x14ac:dyDescent="0.3">
      <c r="A37" s="122" t="s">
        <v>68</v>
      </c>
      <c r="B37" s="122"/>
      <c r="C37" s="55" t="s">
        <v>108</v>
      </c>
      <c r="D37" s="40" t="s">
        <v>108</v>
      </c>
      <c r="E37" s="40" t="s">
        <v>444</v>
      </c>
      <c r="F37" s="62"/>
      <c r="G37" s="62"/>
      <c r="H37" s="62"/>
    </row>
    <row r="38" spans="1:8" ht="57.6" x14ac:dyDescent="0.3">
      <c r="A38" s="122" t="s">
        <v>69</v>
      </c>
      <c r="B38" s="122"/>
      <c r="C38" s="41" t="s">
        <v>407</v>
      </c>
      <c r="D38" s="41" t="s">
        <v>407</v>
      </c>
      <c r="E38" s="40" t="s">
        <v>442</v>
      </c>
      <c r="F38" s="62"/>
      <c r="G38" s="62"/>
      <c r="H38" s="62"/>
    </row>
    <row r="39" spans="1:8" ht="345.6" x14ac:dyDescent="0.3">
      <c r="A39" s="122" t="s">
        <v>70</v>
      </c>
      <c r="B39" s="122"/>
      <c r="C39" s="40" t="s">
        <v>406</v>
      </c>
      <c r="D39" s="40" t="s">
        <v>439</v>
      </c>
      <c r="E39" s="40" t="s">
        <v>450</v>
      </c>
      <c r="F39" s="62"/>
      <c r="G39" s="62"/>
      <c r="H39" s="62"/>
    </row>
    <row r="40" spans="1:8" ht="43.2" x14ac:dyDescent="0.3">
      <c r="A40" s="122" t="s">
        <v>71</v>
      </c>
      <c r="B40" s="122"/>
      <c r="C40" s="55" t="s">
        <v>108</v>
      </c>
      <c r="D40" s="40" t="s">
        <v>440</v>
      </c>
      <c r="E40" s="40" t="s">
        <v>443</v>
      </c>
      <c r="F40" s="62"/>
      <c r="G40" s="62"/>
      <c r="H40" s="62"/>
    </row>
    <row r="41" spans="1:8" ht="15" customHeight="1" x14ac:dyDescent="0.3">
      <c r="A41" s="132" t="s">
        <v>803</v>
      </c>
      <c r="B41" s="122"/>
      <c r="C41" s="55" t="s">
        <v>108</v>
      </c>
      <c r="D41" s="40" t="s">
        <v>108</v>
      </c>
      <c r="E41" s="40" t="s">
        <v>108</v>
      </c>
      <c r="F41" s="62"/>
      <c r="G41" s="62"/>
      <c r="H41" s="62"/>
    </row>
    <row r="42" spans="1:8" x14ac:dyDescent="0.3">
      <c r="A42" s="122" t="s">
        <v>73</v>
      </c>
      <c r="B42" s="122"/>
      <c r="C42" s="55" t="s">
        <v>108</v>
      </c>
      <c r="D42" s="40" t="s">
        <v>108</v>
      </c>
      <c r="E42" s="40" t="s">
        <v>108</v>
      </c>
      <c r="F42" s="62"/>
      <c r="G42" s="62"/>
      <c r="H42" s="62"/>
    </row>
    <row r="43" spans="1:8" ht="43.2" x14ac:dyDescent="0.3">
      <c r="A43" s="122" t="s">
        <v>74</v>
      </c>
      <c r="B43" s="122"/>
      <c r="C43" s="55" t="s">
        <v>108</v>
      </c>
      <c r="D43" s="40" t="s">
        <v>441</v>
      </c>
      <c r="E43" s="40" t="s">
        <v>108</v>
      </c>
      <c r="F43" s="62"/>
      <c r="G43" s="62"/>
      <c r="H43" s="62"/>
    </row>
  </sheetData>
  <mergeCells count="23">
    <mergeCell ref="A42:B42"/>
    <mergeCell ref="A43:B43"/>
    <mergeCell ref="A38:B38"/>
    <mergeCell ref="A17:B17"/>
    <mergeCell ref="A18:B18"/>
    <mergeCell ref="A19:B19"/>
    <mergeCell ref="A20:B20"/>
    <mergeCell ref="A23:B23"/>
    <mergeCell ref="A24:B24"/>
    <mergeCell ref="A25:B25"/>
    <mergeCell ref="A26:B26"/>
    <mergeCell ref="A27:A35"/>
    <mergeCell ref="A37:B37"/>
    <mergeCell ref="A39:B39"/>
    <mergeCell ref="A40:B40"/>
    <mergeCell ref="A41:B41"/>
    <mergeCell ref="A21:B21"/>
    <mergeCell ref="A4:B4"/>
    <mergeCell ref="C4:E4"/>
    <mergeCell ref="G4:G14"/>
    <mergeCell ref="H4:H14"/>
    <mergeCell ref="A5:B5"/>
    <mergeCell ref="A6:A1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A8343A84B8065C4BB6DD4A4199C403FE" ma:contentTypeVersion="11" ma:contentTypeDescription="DECC Microsoft PowerPoint Presentation Content Type" ma:contentTypeScope="" ma:versionID="7d7b5a1609296a948b75dab81e96c74b">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7f00ab28732e5777c94a4cf450095264"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c6981cf-ca77-4d25-a722-9ba9d442762a" ContentTypeId="0x01010020B27A3BB4AD4E469BDEA344273B4F2203"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7e53c2a-c5c2-4bbb-ab47-6d506cb60401">DECCISRC-282-7408</_dlc_DocId>
    <_dlc_DocIdUrl xmlns="f7e53c2a-c5c2-4bbb-ab47-6d506cb60401">
      <Url>https://edrms.decc.gsi.gov.uk/isr/ieu/CRP/_layouts/15/DocIdRedir.aspx?ID=DECCISRC-282-7408</Url>
      <Description>DECCISRC-282-7408</Description>
    </_dlc_DocIdUrl>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ISR-IEU-01381</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Props1.xml><?xml version="1.0" encoding="utf-8"?>
<ds:datastoreItem xmlns:ds="http://schemas.openxmlformats.org/officeDocument/2006/customXml" ds:itemID="{672B1B59-F9B0-43E6-980F-3C05D7E58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1F403-6D1A-4A2B-BC18-5F5A01FD5D8F}">
  <ds:schemaRefs>
    <ds:schemaRef ds:uri="Microsoft.SharePoint.Taxonomy.ContentTypeSync"/>
  </ds:schemaRefs>
</ds:datastoreItem>
</file>

<file path=customXml/itemProps3.xml><?xml version="1.0" encoding="utf-8"?>
<ds:datastoreItem xmlns:ds="http://schemas.openxmlformats.org/officeDocument/2006/customXml" ds:itemID="{E29B1AD8-F00E-46DD-8862-52037A68880C}">
  <ds:schemaRefs>
    <ds:schemaRef ds:uri="http://schemas.microsoft.com/sharepoint/events"/>
  </ds:schemaRefs>
</ds:datastoreItem>
</file>

<file path=customXml/itemProps4.xml><?xml version="1.0" encoding="utf-8"?>
<ds:datastoreItem xmlns:ds="http://schemas.openxmlformats.org/officeDocument/2006/customXml" ds:itemID="{B238494F-A043-47EB-919E-30D19D9EA6A9}">
  <ds:schemaRefs>
    <ds:schemaRef ds:uri="http://schemas.microsoft.com/sharepoint/v3/contenttype/forms"/>
  </ds:schemaRefs>
</ds:datastoreItem>
</file>

<file path=customXml/itemProps5.xml><?xml version="1.0" encoding="utf-8"?>
<ds:datastoreItem xmlns:ds="http://schemas.openxmlformats.org/officeDocument/2006/customXml" ds:itemID="{EDEDF8E1-721E-4D74-BD79-9673EAD02205}">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f7e53c2a-c5c2-4bbb-ab47-6d506cb60401"/>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vt:lpstr>
      <vt:lpstr>Summary</vt:lpstr>
      <vt:lpstr>IWI</vt:lpstr>
      <vt:lpstr>EWI</vt:lpstr>
      <vt:lpstr>CWI</vt:lpstr>
      <vt:lpstr>PWI</vt:lpstr>
      <vt:lpstr>R1</vt:lpstr>
      <vt:lpstr>R2</vt:lpstr>
      <vt:lpstr>R3</vt:lpstr>
      <vt:lpstr>F1</vt:lpstr>
      <vt:lpstr>DG</vt:lpstr>
      <vt:lpstr>SG</vt:lpstr>
      <vt:lpstr>GAS</vt:lpstr>
      <vt:lpstr>OIL</vt:lpstr>
      <vt:lpstr>CH</vt:lpstr>
      <vt:lpstr>HWC</vt:lpstr>
      <vt:lpstr>LED</vt:lpstr>
      <vt:lpstr>DP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Livingstone</dc:creator>
  <cp:lastModifiedBy>Hollingshead Paul (Communications)</cp:lastModifiedBy>
  <dcterms:created xsi:type="dcterms:W3CDTF">2016-02-23T14:28:53Z</dcterms:created>
  <dcterms:modified xsi:type="dcterms:W3CDTF">2017-11-02T17:06:15Z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3ce8f4be-4908-4fd2-9bda-a1af9aa7516b</vt:lpwstr>
  </property>
  <property fmtid="{D5CDD505-2E9C-101B-9397-08002B2CF9AE}" pid="3" name="ContentTypeId">
    <vt:lpwstr>0x01010020B27A3BB4AD4E469BDEA344273B4F220300A8343A84B8065C4BB6DD4A4199C403FE</vt:lpwstr>
  </property>
</Properties>
</file>