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755" activeTab="1"/>
  </bookViews>
  <sheets>
    <sheet name="Novem carbon - instructions" sheetId="23" r:id="rId1"/>
    <sheet name="Novem Carbon (inc SRM)" sheetId="16" r:id="rId2"/>
    <sheet name="Sheet1" sheetId="24" r:id="rId3"/>
    <sheet name="Secondary Buy-out Calculator" sheetId="18" state="hidden" r:id="rId4"/>
  </sheets>
  <definedNames>
    <definedName name="_xlnm.Print_Area" localSheetId="1">'Novem Carbon (inc SRM)'!$A$1:$L$121</definedName>
  </definedNames>
  <calcPr calcId="152511"/>
</workbook>
</file>

<file path=xl/calcChain.xml><?xml version="1.0" encoding="utf-8"?>
<calcChain xmlns="http://schemas.openxmlformats.org/spreadsheetml/2006/main">
  <c r="E128" i="16"/>
  <c r="E127"/>
  <c r="E119"/>
  <c r="E118"/>
  <c r="E117"/>
  <c r="E116"/>
  <c r="D51"/>
  <c r="D50"/>
  <c r="D49"/>
  <c r="E124"/>
  <c r="D48"/>
  <c r="D47"/>
  <c r="D46"/>
  <c r="D45"/>
  <c r="D44"/>
  <c r="D43"/>
  <c r="D42"/>
  <c r="D41"/>
  <c r="D40"/>
  <c r="D39"/>
  <c r="E97"/>
  <c r="E96"/>
  <c r="E95"/>
  <c r="E87"/>
  <c r="F87"/>
  <c r="F92"/>
  <c r="G87"/>
  <c r="H87"/>
  <c r="H92"/>
  <c r="I87"/>
  <c r="I92"/>
  <c r="J87"/>
  <c r="J92"/>
  <c r="K87"/>
  <c r="L87"/>
  <c r="M87"/>
  <c r="M92"/>
  <c r="N87"/>
  <c r="N92"/>
  <c r="O87"/>
  <c r="P87"/>
  <c r="P92"/>
  <c r="Q87"/>
  <c r="Q92"/>
  <c r="D87"/>
  <c r="E103"/>
  <c r="D92"/>
  <c r="E86"/>
  <c r="F86"/>
  <c r="G86"/>
  <c r="H86"/>
  <c r="I86"/>
  <c r="J86"/>
  <c r="K86"/>
  <c r="L86"/>
  <c r="M86"/>
  <c r="N86"/>
  <c r="O86"/>
  <c r="P86"/>
  <c r="Q86"/>
  <c r="D86"/>
  <c r="E102"/>
  <c r="E82"/>
  <c r="G82"/>
  <c r="I82"/>
  <c r="K82"/>
  <c r="M82"/>
  <c r="O82"/>
  <c r="E81"/>
  <c r="F81"/>
  <c r="F82"/>
  <c r="G81"/>
  <c r="H81"/>
  <c r="H82"/>
  <c r="I81"/>
  <c r="J81"/>
  <c r="J82"/>
  <c r="K81"/>
  <c r="L81"/>
  <c r="L82"/>
  <c r="M81"/>
  <c r="N81"/>
  <c r="N82"/>
  <c r="O81"/>
  <c r="P81"/>
  <c r="P82"/>
  <c r="Q81"/>
  <c r="Q82"/>
  <c r="D81"/>
  <c r="D82"/>
  <c r="E80"/>
  <c r="F80"/>
  <c r="G80"/>
  <c r="H80"/>
  <c r="I80"/>
  <c r="J80"/>
  <c r="K80"/>
  <c r="L80"/>
  <c r="M80"/>
  <c r="N80"/>
  <c r="O80"/>
  <c r="P80"/>
  <c r="Q80"/>
  <c r="D80"/>
  <c r="E78"/>
  <c r="F78"/>
  <c r="G78"/>
  <c r="H78"/>
  <c r="I78"/>
  <c r="J78"/>
  <c r="K78"/>
  <c r="L78"/>
  <c r="M78"/>
  <c r="N78"/>
  <c r="O78"/>
  <c r="P78"/>
  <c r="Q78"/>
  <c r="D78"/>
  <c r="G69"/>
  <c r="G68"/>
  <c r="F67"/>
  <c r="E39"/>
  <c r="E40"/>
  <c r="E41"/>
  <c r="E42"/>
  <c r="E43"/>
  <c r="E44"/>
  <c r="E45"/>
  <c r="E46"/>
  <c r="E47"/>
  <c r="E48"/>
  <c r="E49"/>
  <c r="E50"/>
  <c r="E51"/>
  <c r="E52"/>
  <c r="E53"/>
  <c r="E54"/>
  <c r="E55"/>
  <c r="E56"/>
  <c r="E57"/>
  <c r="E58"/>
  <c r="E59"/>
  <c r="E60"/>
  <c r="E61"/>
  <c r="E62"/>
  <c r="E38"/>
  <c r="E69"/>
  <c r="G92"/>
  <c r="K92"/>
  <c r="O92"/>
  <c r="C49"/>
  <c r="F63"/>
  <c r="F70"/>
  <c r="C124"/>
  <c r="C113"/>
  <c r="C62"/>
  <c r="C61"/>
  <c r="C60"/>
  <c r="C59"/>
  <c r="C58"/>
  <c r="C57"/>
  <c r="C56"/>
  <c r="C55"/>
  <c r="C54"/>
  <c r="C53"/>
  <c r="C52"/>
  <c r="C51"/>
  <c r="C50"/>
  <c r="C48"/>
  <c r="C47"/>
  <c r="C46"/>
  <c r="C45"/>
  <c r="C44"/>
  <c r="C43"/>
  <c r="C42"/>
  <c r="C41"/>
  <c r="C40"/>
  <c r="C39"/>
  <c r="D36"/>
  <c r="C67"/>
  <c r="C64"/>
  <c r="C23"/>
  <c r="C126"/>
  <c r="C125"/>
  <c r="C115"/>
  <c r="C114"/>
  <c r="D85"/>
  <c r="E85"/>
  <c r="F85"/>
  <c r="G85"/>
  <c r="H85"/>
  <c r="I85"/>
  <c r="J85"/>
  <c r="K85"/>
  <c r="L85"/>
  <c r="M85"/>
  <c r="N85"/>
  <c r="O85"/>
  <c r="P85"/>
  <c r="Q85"/>
  <c r="L92"/>
  <c r="F89"/>
  <c r="D89"/>
  <c r="D90"/>
  <c r="E89"/>
  <c r="E90"/>
  <c r="G89"/>
  <c r="H89"/>
  <c r="I89"/>
  <c r="J89"/>
  <c r="K89"/>
  <c r="L89"/>
  <c r="M89"/>
  <c r="N89"/>
  <c r="O89"/>
  <c r="P89"/>
  <c r="Q89"/>
  <c r="F90"/>
  <c r="G90"/>
  <c r="H90"/>
  <c r="I90"/>
  <c r="J90"/>
  <c r="K90"/>
  <c r="L90"/>
  <c r="M90"/>
  <c r="N90"/>
  <c r="O90"/>
  <c r="P90"/>
  <c r="Q90"/>
  <c r="E8" i="18"/>
  <c r="F8"/>
  <c r="F9"/>
  <c r="G8"/>
  <c r="G9"/>
  <c r="F37" i="16"/>
  <c r="E98"/>
  <c r="D96"/>
  <c r="F96"/>
  <c r="E37"/>
  <c r="D95"/>
  <c r="F95"/>
  <c r="E92"/>
  <c r="C80"/>
  <c r="C76"/>
  <c r="D97"/>
  <c r="F97"/>
  <c r="F99"/>
  <c r="C83"/>
  <c r="E105"/>
  <c r="E108"/>
  <c r="E63"/>
  <c r="E113"/>
  <c r="E64"/>
  <c r="E101"/>
  <c r="D98"/>
  <c r="F98"/>
  <c r="E104"/>
  <c r="E107"/>
  <c r="E126"/>
  <c r="E125"/>
  <c r="E132"/>
  <c r="E133"/>
  <c r="E114"/>
  <c r="E115"/>
  <c r="E109"/>
  <c r="E120"/>
</calcChain>
</file>

<file path=xl/comments1.xml><?xml version="1.0" encoding="utf-8"?>
<comments xmlns="http://schemas.openxmlformats.org/spreadsheetml/2006/main">
  <authors>
    <author>David Vaughan</author>
    <author>Rebecca Turner</author>
  </authors>
  <commentList>
    <comment ref="C31" authorId="0">
      <text>
        <r>
          <rPr>
            <sz val="9"/>
            <color indexed="81"/>
            <rFont val="Tahoma"/>
            <family val="2"/>
          </rPr>
          <t>Sign convention means this figure must be a positive number or 0</t>
        </r>
      </text>
    </comment>
    <comment ref="F36" authorId="0">
      <text>
        <r>
          <rPr>
            <sz val="9"/>
            <color indexed="81"/>
            <rFont val="Tahoma"/>
            <family val="2"/>
          </rPr>
          <t>If TU level data is input here, facility level data will not be used.</t>
        </r>
      </text>
    </comment>
    <comment ref="G36" authorId="0">
      <text>
        <r>
          <rPr>
            <sz val="9"/>
            <color indexed="81"/>
            <rFont val="Tahoma"/>
            <family val="2"/>
          </rPr>
          <t>Facility level data may be input instead of TU level data</t>
        </r>
      </text>
    </comment>
    <comment ref="C38" authorId="0">
      <text>
        <r>
          <rPr>
            <sz val="9"/>
            <color indexed="81"/>
            <rFont val="Tahoma"/>
            <family val="2"/>
          </rPr>
          <t xml:space="preserve">This is the total across all products in the each of the products units and is checked against the Novem product data. 
</t>
        </r>
      </text>
    </comment>
    <comment ref="D39" authorId="0">
      <text>
        <r>
          <rPr>
            <sz val="9"/>
            <color indexed="81"/>
            <rFont val="Tahoma"/>
            <family val="2"/>
          </rPr>
          <t xml:space="preserve">These factors adjust according to the units in cell E20.
</t>
        </r>
      </text>
    </comment>
    <comment ref="C52" authorId="0">
      <text>
        <r>
          <rPr>
            <sz val="9"/>
            <color indexed="81"/>
            <rFont val="Tahoma"/>
            <family val="2"/>
          </rPr>
          <t xml:space="preserve">These fuels may include any renewables used
</t>
        </r>
      </text>
    </comment>
    <comment ref="G67" authorId="0">
      <text>
        <r>
          <rPr>
            <sz val="9"/>
            <color indexed="81"/>
            <rFont val="Tahoma"/>
            <family val="2"/>
          </rPr>
          <t xml:space="preserve">If facility level electricity and throughput data has been provided CHP delivered electricity for each facility can be input and the adjusted throughput for the TU will be calculated. 
</t>
        </r>
      </text>
    </comment>
    <comment ref="F69" authorId="0">
      <text>
        <r>
          <rPr>
            <sz val="9"/>
            <color indexed="81"/>
            <rFont val="Tahoma"/>
            <family val="2"/>
          </rPr>
          <t xml:space="preserve">Instead of inputing CHP delivered electricity for each facility the adjusted throughput for the TU may be determined separately and input here.  </t>
        </r>
      </text>
    </comment>
    <comment ref="C73" authorId="0">
      <text>
        <r>
          <rPr>
            <sz val="9"/>
            <color indexed="81"/>
            <rFont val="Tahoma"/>
            <family val="2"/>
          </rPr>
          <t xml:space="preserve">Production data in this table must be adjusted figures where the SRM applies.
</t>
        </r>
      </text>
    </comment>
    <comment ref="D73" authorId="0">
      <text>
        <r>
          <rPr>
            <sz val="9"/>
            <color indexed="81"/>
            <rFont val="Tahoma"/>
            <family val="2"/>
          </rPr>
          <t>TU may input product data to this table or may put the Novem results in the table below (cells F102 and F103)</t>
        </r>
      </text>
    </comment>
    <comment ref="F73" authorId="1">
      <text>
        <r>
          <rPr>
            <sz val="9"/>
            <color indexed="81"/>
            <rFont val="Tahoma"/>
            <family val="2"/>
          </rPr>
          <t>For new products added since the base year, base line performance information needs to be added but will not be included in the base year data.</t>
        </r>
      </text>
    </comment>
    <comment ref="C83" authorId="0">
      <text>
        <r>
          <rPr>
            <sz val="9"/>
            <color indexed="81"/>
            <rFont val="Tahoma"/>
            <family val="2"/>
          </rPr>
          <t xml:space="preserve">Must be adjusted figures where the SRM applies.
</t>
        </r>
      </text>
    </comment>
    <comment ref="E94" authorId="0">
      <text>
        <r>
          <rPr>
            <sz val="9"/>
            <color indexed="81"/>
            <rFont val="Tahoma"/>
            <family val="2"/>
          </rPr>
          <t xml:space="preserve">The Novem data must balance with the base year and target period data for the TU.
</t>
        </r>
      </text>
    </comment>
    <comment ref="C95" authorId="0">
      <text>
        <r>
          <rPr>
            <sz val="9"/>
            <color indexed="81"/>
            <rFont val="Tahoma"/>
            <family val="2"/>
          </rPr>
          <t xml:space="preserve">A further check could be performed on whether the base year throughput balances with the total of the base year Novem throughputs, however the register does not capute base year throughput for Novem TUs so this check can only be performed outside the reporting template.
</t>
        </r>
      </text>
    </comment>
    <comment ref="F95" authorId="0">
      <text>
        <r>
          <rPr>
            <sz val="9"/>
            <color indexed="81"/>
            <rFont val="Tahoma"/>
            <family val="2"/>
          </rPr>
          <t xml:space="preserve">These checks are to assist with balancing the Novem data with the base year and target period data
</t>
        </r>
      </text>
    </comment>
    <comment ref="F102" authorId="0">
      <text>
        <r>
          <rPr>
            <sz val="9"/>
            <color indexed="81"/>
            <rFont val="Tahoma"/>
            <family val="2"/>
          </rPr>
          <t xml:space="preserve">If the TU has performed its own Novem calculations the answers may be input here, otherwise leave blank
</t>
        </r>
      </text>
    </comment>
  </commentList>
</comments>
</file>

<file path=xl/comments2.xml><?xml version="1.0" encoding="utf-8"?>
<comments xmlns="http://schemas.openxmlformats.org/spreadsheetml/2006/main">
  <authors>
    <author>David Vaughan</author>
  </authors>
  <commentList>
    <comment ref="E6" authorId="0">
      <text>
        <r>
          <rPr>
            <sz val="9"/>
            <color indexed="81"/>
            <rFont val="Tahoma"/>
            <family val="2"/>
          </rPr>
          <t xml:space="preserve">Can only be zero or positive and gives surplus to carry forward to next TP
</t>
        </r>
      </text>
    </comment>
    <comment ref="F6" authorId="0">
      <text>
        <r>
          <rPr>
            <b/>
            <sz val="9"/>
            <color indexed="81"/>
            <rFont val="Tahoma"/>
            <family val="2"/>
          </rPr>
          <t xml:space="preserve">Sign convention: Negative: </t>
        </r>
        <r>
          <rPr>
            <sz val="9"/>
            <color indexed="81"/>
            <rFont val="Tahoma"/>
            <family val="2"/>
          </rPr>
          <t>means additional buy-out is required</t>
        </r>
        <r>
          <rPr>
            <b/>
            <sz val="9"/>
            <color indexed="81"/>
            <rFont val="Tahoma"/>
            <family val="2"/>
          </rPr>
          <t xml:space="preserve">
Positive: </t>
        </r>
        <r>
          <rPr>
            <sz val="9"/>
            <color indexed="81"/>
            <rFont val="Tahoma"/>
            <family val="2"/>
          </rPr>
          <t>means buy-out has been over paid and amount can be reclaimed</t>
        </r>
      </text>
    </comment>
    <comment ref="C8" authorId="0">
      <text>
        <r>
          <rPr>
            <sz val="9"/>
            <color indexed="81"/>
            <rFont val="Tahoma"/>
            <family val="2"/>
          </rPr>
          <t xml:space="preserve">This is the current amount of buy-out or surplus (in tonne carbon) that has been calculated for the Target Period. Enter a negative number for an accumulated buy-out amount or a positive number for the current surplus amount.
</t>
        </r>
      </text>
    </comment>
    <comment ref="D8" authorId="0">
      <text>
        <r>
          <rPr>
            <sz val="9"/>
            <color indexed="81"/>
            <rFont val="Tahoma"/>
            <family val="2"/>
          </rPr>
          <t xml:space="preserve">This is the revised amount of buy-out or surplus (in tonne carbon) that has been calculated for the Target Period. Enter a negative number for a revised buy-out amount or a positive number for a revised surplus amount.
</t>
        </r>
      </text>
    </comment>
  </commentList>
</comments>
</file>

<file path=xl/sharedStrings.xml><?xml version="1.0" encoding="utf-8"?>
<sst xmlns="http://schemas.openxmlformats.org/spreadsheetml/2006/main" count="182" uniqueCount="132">
  <si>
    <t>Calculation</t>
  </si>
  <si>
    <t>TU Input</t>
  </si>
  <si>
    <t>No of facilities</t>
  </si>
  <si>
    <t>TU Operator</t>
  </si>
  <si>
    <t xml:space="preserve">Target Type </t>
  </si>
  <si>
    <t>TU Details</t>
  </si>
  <si>
    <t>Base year start date</t>
  </si>
  <si>
    <t>TP Target</t>
  </si>
  <si>
    <t>Carbon Calculations</t>
  </si>
  <si>
    <t>Previous Performance</t>
  </si>
  <si>
    <t>Actual Target Period Performance (throughput and fuel split over 2 years)</t>
  </si>
  <si>
    <t>Target Period Grid Intensity</t>
  </si>
  <si>
    <t>Special Reporting for CHP in EUETS</t>
  </si>
  <si>
    <t>Target Unit</t>
  </si>
  <si>
    <t>Target Period</t>
  </si>
  <si>
    <t>Sector</t>
  </si>
  <si>
    <t>Identifier</t>
  </si>
  <si>
    <t>Throughput units</t>
  </si>
  <si>
    <t>Data from Register</t>
  </si>
  <si>
    <t>Adjusted target period throughput</t>
  </si>
  <si>
    <t>Buy-out Cost (£)</t>
  </si>
  <si>
    <t>Value of latest agreement target %</t>
  </si>
  <si>
    <t>Target Period Result</t>
  </si>
  <si>
    <t>Product</t>
  </si>
  <si>
    <t xml:space="preserve">Actual TP Performance </t>
  </si>
  <si>
    <t>G = D/F</t>
  </si>
  <si>
    <t>H = E/F</t>
  </si>
  <si>
    <t>Actual Target Period Performance</t>
  </si>
  <si>
    <t>Novem Data Checks</t>
  </si>
  <si>
    <t>TP Total Production balance</t>
  </si>
  <si>
    <t>Data for Register</t>
  </si>
  <si>
    <t>According to Product Mix</t>
  </si>
  <si>
    <t>Target Period Data</t>
  </si>
  <si>
    <t>Novem Data</t>
  </si>
  <si>
    <t>F</t>
  </si>
  <si>
    <t>E</t>
  </si>
  <si>
    <t>D</t>
  </si>
  <si>
    <t>TP Target Balance</t>
  </si>
  <si>
    <t>Tolerance on actual TP ratio</t>
  </si>
  <si>
    <t>N</t>
  </si>
  <si>
    <r>
      <t>SCC</t>
    </r>
    <r>
      <rPr>
        <vertAlign val="subscript"/>
        <sz val="11"/>
        <color indexed="8"/>
        <rFont val="Calibri"/>
        <family val="2"/>
      </rPr>
      <t>0</t>
    </r>
  </si>
  <si>
    <r>
      <t>Carbon</t>
    </r>
    <r>
      <rPr>
        <vertAlign val="subscript"/>
        <sz val="11"/>
        <color indexed="8"/>
        <rFont val="Calibri"/>
        <family val="2"/>
      </rPr>
      <t>n</t>
    </r>
  </si>
  <si>
    <r>
      <t>SCC</t>
    </r>
    <r>
      <rPr>
        <vertAlign val="subscript"/>
        <sz val="11"/>
        <color indexed="8"/>
        <rFont val="Calibri"/>
        <family val="2"/>
      </rPr>
      <t>n</t>
    </r>
  </si>
  <si>
    <r>
      <t>SCC</t>
    </r>
    <r>
      <rPr>
        <vertAlign val="subscript"/>
        <sz val="11"/>
        <color indexed="8"/>
        <rFont val="Calibri"/>
        <family val="2"/>
      </rPr>
      <t>N</t>
    </r>
  </si>
  <si>
    <t>BY Total Carbon balance</t>
  </si>
  <si>
    <t>TP Total Carbon balance</t>
  </si>
  <si>
    <t>Actual target period carbon</t>
  </si>
  <si>
    <t>Target carbon at target period throughput</t>
  </si>
  <si>
    <t>Base year carbon at target period throughput</t>
  </si>
  <si>
    <t>Carbon Unit</t>
  </si>
  <si>
    <t>Accuracy to which carbon is measured</t>
  </si>
  <si>
    <t>Initial TP result in register</t>
  </si>
  <si>
    <t>Revised TP report result</t>
  </si>
  <si>
    <t>Updated Surplus to be input to register</t>
  </si>
  <si>
    <t>Secondary buy-out to be made by TU</t>
  </si>
  <si>
    <t>Revised TP report Surplus / Buy-out Calculator</t>
  </si>
  <si>
    <t>Secondary Surplus or Buy-out Calculator</t>
  </si>
  <si>
    <t>Facility Input</t>
  </si>
  <si>
    <t>Novem Input</t>
  </si>
  <si>
    <t>Report Version</t>
  </si>
  <si>
    <t>Report Date</t>
  </si>
  <si>
    <t>Total buy-out to be made by TU</t>
  </si>
  <si>
    <t>Tonne Co2</t>
  </si>
  <si>
    <t>£</t>
  </si>
  <si>
    <t>How many decimal places is your throughput accurate to?</t>
  </si>
  <si>
    <r>
      <t>SCC</t>
    </r>
    <r>
      <rPr>
        <vertAlign val="subscript"/>
        <sz val="11"/>
        <color indexed="8"/>
        <rFont val="Calibri"/>
        <family val="2"/>
      </rPr>
      <t>0</t>
    </r>
    <r>
      <rPr>
        <sz val="11"/>
        <color theme="1"/>
        <rFont val="Calibri"/>
        <family val="2"/>
        <scheme val="minor"/>
      </rPr>
      <t>*t</t>
    </r>
    <r>
      <rPr>
        <vertAlign val="subscript"/>
        <sz val="11"/>
        <color indexed="8"/>
        <rFont val="Calibri"/>
        <family val="2"/>
      </rPr>
      <t xml:space="preserve">N </t>
    </r>
    <r>
      <rPr>
        <sz val="11"/>
        <color indexed="8"/>
        <rFont val="Calibri"/>
        <family val="2"/>
      </rPr>
      <t xml:space="preserve">(F) with tolerance </t>
    </r>
  </si>
  <si>
    <r>
      <t>Carbon</t>
    </r>
    <r>
      <rPr>
        <vertAlign val="subscript"/>
        <sz val="11"/>
        <color indexed="8"/>
        <rFont val="Calibri"/>
        <family val="2"/>
      </rPr>
      <t xml:space="preserve">N </t>
    </r>
    <r>
      <rPr>
        <sz val="11"/>
        <color indexed="8"/>
        <rFont val="Calibri"/>
        <family val="2"/>
      </rPr>
      <t>(D) with tolerance</t>
    </r>
  </si>
  <si>
    <r>
      <t>Carbon</t>
    </r>
    <r>
      <rPr>
        <vertAlign val="subscript"/>
        <sz val="11"/>
        <color indexed="8"/>
        <rFont val="Calibri"/>
        <family val="2"/>
      </rPr>
      <t xml:space="preserve">N </t>
    </r>
    <r>
      <rPr>
        <sz val="11"/>
        <color indexed="8"/>
        <rFont val="Calibri"/>
        <family val="2"/>
      </rPr>
      <t>(D)</t>
    </r>
  </si>
  <si>
    <r>
      <t>SCC</t>
    </r>
    <r>
      <rPr>
        <vertAlign val="subscript"/>
        <sz val="11"/>
        <color indexed="8"/>
        <rFont val="Calibri"/>
        <family val="2"/>
      </rPr>
      <t>n</t>
    </r>
    <r>
      <rPr>
        <sz val="11"/>
        <color theme="1"/>
        <rFont val="Calibri"/>
        <family val="2"/>
        <scheme val="minor"/>
      </rPr>
      <t>*t</t>
    </r>
    <r>
      <rPr>
        <vertAlign val="subscript"/>
        <sz val="11"/>
        <color indexed="8"/>
        <rFont val="Calibri"/>
        <family val="2"/>
      </rPr>
      <t xml:space="preserve">N </t>
    </r>
    <r>
      <rPr>
        <sz val="11"/>
        <color indexed="8"/>
        <rFont val="Calibri"/>
        <family val="2"/>
      </rPr>
      <t>(E)</t>
    </r>
  </si>
  <si>
    <r>
      <t>SCC</t>
    </r>
    <r>
      <rPr>
        <vertAlign val="subscript"/>
        <sz val="11"/>
        <color indexed="8"/>
        <rFont val="Calibri"/>
        <family val="2"/>
      </rPr>
      <t>0</t>
    </r>
    <r>
      <rPr>
        <sz val="11"/>
        <color theme="1"/>
        <rFont val="Calibri"/>
        <family val="2"/>
        <scheme val="minor"/>
      </rPr>
      <t>*t</t>
    </r>
    <r>
      <rPr>
        <vertAlign val="subscript"/>
        <sz val="11"/>
        <color indexed="8"/>
        <rFont val="Calibri"/>
        <family val="2"/>
      </rPr>
      <t xml:space="preserve">N </t>
    </r>
    <r>
      <rPr>
        <sz val="11"/>
        <color indexed="8"/>
        <rFont val="Calibri"/>
        <family val="2"/>
      </rPr>
      <t>(F)</t>
    </r>
  </si>
  <si>
    <t>Is the Product energy and throughput  determined directly from meter readings?</t>
  </si>
  <si>
    <t>Section 2: Target Unit Details, Targets and Previous Performance</t>
  </si>
  <si>
    <t>Section 1: Report Details</t>
  </si>
  <si>
    <t>Section 3: Actual Target Period Performance for Target Facility</t>
  </si>
  <si>
    <t>This section is used to report the actual performance of the target unit within the reporting period.</t>
  </si>
  <si>
    <t>Section 5: Carbon surplus or buy-out determination</t>
  </si>
  <si>
    <t>The template is divided into a number of sections. Instructions for completing each of these are provided below, and further guidance is given in comment boxes within the reporting template.</t>
  </si>
  <si>
    <t>The table in this section should be completed to provide details on the report period and report version.</t>
  </si>
  <si>
    <t>If you are entering data for the entire target unit, this should be entered into the 'target unit' column, column F. Alternatively, if you are able to enter data on an individual facility basis, this should be entered into the 'facility' columns, column G onwards. You do not need to enter both types of data.</t>
  </si>
  <si>
    <t>This section will show the results of any surplus carbon that the target unit is able to carry forward, and the cost of any buy-out required. Where surplus carbon has been carried over from a previous reporting period, this will be deducted from any buy-out costs.</t>
  </si>
  <si>
    <t>This section will be automatically populated using the data that we hold in the register for your target unit.  Before completing your report, you should check this data to ensure that it is correct. If you believe that there are any errors you should notify your sector facilitator.</t>
  </si>
  <si>
    <t>Conversion factors are available for standard fuels. If you are adding an 'other fuel' you will need to enter the corresponding conversion factor in column D.</t>
  </si>
  <si>
    <t>Section 3a: Only for target units that have CHP in EUETS and need to apply the Special Reporting Method</t>
  </si>
  <si>
    <t>This section should only be completed by target units applying the special reporting method.</t>
  </si>
  <si>
    <t>Section 4: Novem product data and performance calculation</t>
  </si>
  <si>
    <t>The first table in this section should be completed for each product. Where a new poduct has been added since the target unit's base year, the 'base year performance' does not need to be included.</t>
  </si>
  <si>
    <t>The 'novem data checks' table checks that the novem data entered balances with the base year and target period data for the target unit. If the numbers balance 'Ok' will be shown in the table. If 'error' appears, you should re-visit the data that you have entered to ensure that it is correct.</t>
  </si>
  <si>
    <t>Instruction sheet: Novem carbon targets</t>
  </si>
  <si>
    <t>This reporting template should be used by target units with novem carbon targets. Alternative templates are available for target units with other target types.</t>
  </si>
  <si>
    <t>Data should be entered into the green cells for total production, as well as for all fuels used within the reporting period (in terms of carbon). The carbon units used should match those shown in Section 2.</t>
  </si>
  <si>
    <t>The 'actual target period performance' table calculates whether the target has been met, or a buy-out is required. The green cells should only be completed where the target unit has calculated its own novem data.</t>
  </si>
  <si>
    <t>Section 5: Carbon Surplus or Buy-Out Determination</t>
  </si>
  <si>
    <t>Section 3a:  Only for Target Units that have CHP in EUETS and need to apply the Special Reporting Method</t>
  </si>
  <si>
    <t>Section 4: Novem Product Data and Performance Calculation</t>
  </si>
  <si>
    <t>For Target Units with Novem Carbon Targets (including SRM calculations where needed)</t>
  </si>
  <si>
    <t>Section 3: Actual Target Period Performance for Target Facility, excluding EUETS Energy</t>
  </si>
  <si>
    <t>Your Name</t>
  </si>
  <si>
    <r>
      <t>Target Period (2 years) Carbon emitted (tonne CO</t>
    </r>
    <r>
      <rPr>
        <b/>
        <vertAlign val="subscript"/>
        <sz val="11"/>
        <color indexed="8"/>
        <rFont val="Calibri"/>
        <family val="2"/>
      </rPr>
      <t>2</t>
    </r>
    <r>
      <rPr>
        <b/>
        <sz val="11"/>
        <color indexed="8"/>
        <rFont val="Calibri"/>
        <family val="2"/>
      </rPr>
      <t>)</t>
    </r>
  </si>
  <si>
    <r>
      <t>Buy-out required (tonne CO</t>
    </r>
    <r>
      <rPr>
        <b/>
        <vertAlign val="subscript"/>
        <sz val="11"/>
        <color indexed="8"/>
        <rFont val="Calibri"/>
        <family val="2"/>
      </rPr>
      <t>2</t>
    </r>
    <r>
      <rPr>
        <b/>
        <sz val="11"/>
        <color indexed="8"/>
        <rFont val="Calibri"/>
        <family val="2"/>
      </rPr>
      <t>)</t>
    </r>
  </si>
  <si>
    <t>Data can be provided in column F for the whole TU OR in columns G to AA for individual facilities and/or groups of facilities aggregated together</t>
  </si>
  <si>
    <r>
      <t>Surplus CO</t>
    </r>
    <r>
      <rPr>
        <b/>
        <vertAlign val="subscript"/>
        <sz val="11"/>
        <color indexed="8"/>
        <rFont val="Calibri"/>
        <family val="2"/>
      </rPr>
      <t>2</t>
    </r>
    <r>
      <rPr>
        <b/>
        <sz val="11"/>
        <color indexed="8"/>
        <rFont val="Calibri"/>
        <family val="2"/>
      </rPr>
      <t xml:space="preserve"> from previous Target Period (tonne CO</t>
    </r>
    <r>
      <rPr>
        <b/>
        <vertAlign val="subscript"/>
        <sz val="11"/>
        <color indexed="8"/>
        <rFont val="Calibri"/>
        <family val="2"/>
      </rPr>
      <t>2</t>
    </r>
    <r>
      <rPr>
        <b/>
        <sz val="11"/>
        <color indexed="8"/>
        <rFont val="Calibri"/>
        <family val="2"/>
      </rPr>
      <t>)</t>
    </r>
  </si>
  <si>
    <t>Please select</t>
  </si>
  <si>
    <t>Was this a product in the base year?</t>
  </si>
  <si>
    <t xml:space="preserve">Base Year </t>
  </si>
  <si>
    <t>Target Period (2 years) actual total Production for mix of Units</t>
  </si>
  <si>
    <t>Actual TP Performance</t>
  </si>
  <si>
    <t>Adjusted TP Target</t>
  </si>
  <si>
    <r>
      <t>Secondary Buy-out required (tonne CO</t>
    </r>
    <r>
      <rPr>
        <b/>
        <vertAlign val="subscript"/>
        <sz val="11"/>
        <color indexed="8"/>
        <rFont val="Calibri"/>
        <family val="2"/>
      </rPr>
      <t>2</t>
    </r>
    <r>
      <rPr>
        <b/>
        <sz val="11"/>
        <color indexed="8"/>
        <rFont val="Calibri"/>
        <family val="2"/>
      </rPr>
      <t>)</t>
    </r>
  </si>
  <si>
    <t>Secondary Buy-out Cost or Refund (£)</t>
  </si>
  <si>
    <t>Target Unit Entry</t>
  </si>
  <si>
    <t>Facility Entry</t>
  </si>
  <si>
    <r>
      <t>Total target period Buy-out required (tonne CO</t>
    </r>
    <r>
      <rPr>
        <b/>
        <vertAlign val="subscript"/>
        <sz val="11"/>
        <color indexed="8"/>
        <rFont val="Calibri"/>
        <family val="2"/>
      </rPr>
      <t>2</t>
    </r>
    <r>
      <rPr>
        <b/>
        <sz val="11"/>
        <color indexed="8"/>
        <rFont val="Calibri"/>
        <family val="2"/>
      </rPr>
      <t>)</t>
    </r>
  </si>
  <si>
    <t>Section 5: Supplementary MOA Surplus and Buy-Out Determination</t>
  </si>
  <si>
    <t>Template Vers.</t>
  </si>
  <si>
    <t>Your Email</t>
  </si>
  <si>
    <t>If the target unit has performed its own novem calculations, this table should be left blank, and the novem data entered into cells F102-103.</t>
  </si>
  <si>
    <t>Actual TP Ratio Performance</t>
  </si>
  <si>
    <t>Revised TP Ratio Target</t>
  </si>
  <si>
    <r>
      <t>Surplus CO</t>
    </r>
    <r>
      <rPr>
        <b/>
        <vertAlign val="subscript"/>
        <sz val="11"/>
        <color indexed="8"/>
        <rFont val="Calibri"/>
        <family val="2"/>
      </rPr>
      <t>2</t>
    </r>
    <r>
      <rPr>
        <b/>
        <sz val="11"/>
        <color indexed="8"/>
        <rFont val="Calibri"/>
        <family val="2"/>
      </rPr>
      <t xml:space="preserve"> generated in TP (tonne CO</t>
    </r>
    <r>
      <rPr>
        <b/>
        <vertAlign val="subscript"/>
        <sz val="11"/>
        <color indexed="8"/>
        <rFont val="Calibri"/>
        <family val="2"/>
      </rPr>
      <t>2</t>
    </r>
    <r>
      <rPr>
        <b/>
        <sz val="11"/>
        <color indexed="8"/>
        <rFont val="Calibri"/>
        <family val="2"/>
      </rPr>
      <t>)</t>
    </r>
  </si>
  <si>
    <r>
      <t>Carbon</t>
    </r>
    <r>
      <rPr>
        <vertAlign val="subscript"/>
        <sz val="11"/>
        <color indexed="8"/>
        <rFont val="Calibri"/>
        <family val="2"/>
      </rPr>
      <t xml:space="preserve">0 </t>
    </r>
    <r>
      <rPr>
        <sz val="9"/>
        <color indexed="8"/>
        <rFont val="Calibri"/>
        <family val="2"/>
      </rPr>
      <t>(Equivalent carbon of product in TU base year)</t>
    </r>
  </si>
  <si>
    <t>Target Period Total Energy (kWh)</t>
  </si>
  <si>
    <t xml:space="preserve">The target period throughput should be entered into the green cell. </t>
  </si>
  <si>
    <r>
      <t>TP</t>
    </r>
    <r>
      <rPr>
        <vertAlign val="subscript"/>
        <sz val="11"/>
        <color indexed="8"/>
        <rFont val="Calibri"/>
        <family val="2"/>
      </rPr>
      <t xml:space="preserve"> </t>
    </r>
    <r>
      <rPr>
        <sz val="11"/>
        <color theme="1"/>
        <rFont val="Calibri"/>
        <family val="2"/>
        <scheme val="minor"/>
      </rPr>
      <t>Target %</t>
    </r>
  </si>
  <si>
    <t>Fixed Factors</t>
  </si>
  <si>
    <r>
      <t>Surplus CO</t>
    </r>
    <r>
      <rPr>
        <b/>
        <vertAlign val="subscript"/>
        <sz val="11"/>
        <color indexed="8"/>
        <rFont val="Calibri"/>
        <family val="2"/>
      </rPr>
      <t xml:space="preserve">2 </t>
    </r>
    <r>
      <rPr>
        <b/>
        <sz val="11"/>
        <color indexed="8"/>
        <rFont val="Calibri"/>
        <family val="2"/>
      </rPr>
      <t>used (tonne CO</t>
    </r>
    <r>
      <rPr>
        <b/>
        <vertAlign val="subscript"/>
        <sz val="11"/>
        <color indexed="8"/>
        <rFont val="Calibri"/>
        <family val="2"/>
      </rPr>
      <t>2</t>
    </r>
    <r>
      <rPr>
        <b/>
        <sz val="11"/>
        <color indexed="8"/>
        <rFont val="Calibri"/>
        <family val="2"/>
      </rPr>
      <t>)</t>
    </r>
  </si>
  <si>
    <r>
      <t>Surplus CO2 generated (tonne CO</t>
    </r>
    <r>
      <rPr>
        <b/>
        <vertAlign val="subscript"/>
        <sz val="11"/>
        <color indexed="8"/>
        <rFont val="Calibri"/>
        <family val="2"/>
      </rPr>
      <t>2</t>
    </r>
    <r>
      <rPr>
        <b/>
        <sz val="11"/>
        <color indexed="8"/>
        <rFont val="Calibri"/>
        <family val="2"/>
      </rPr>
      <t>)</t>
    </r>
  </si>
  <si>
    <r>
      <t>Previous Buy-out required after use of surplus (tonne CO</t>
    </r>
    <r>
      <rPr>
        <b/>
        <vertAlign val="subscript"/>
        <sz val="11"/>
        <color indexed="8"/>
        <rFont val="Calibri"/>
        <family val="2"/>
      </rPr>
      <t>2</t>
    </r>
    <r>
      <rPr>
        <b/>
        <sz val="11"/>
        <color indexed="8"/>
        <rFont val="Calibri"/>
        <family val="2"/>
      </rPr>
      <t>)</t>
    </r>
  </si>
  <si>
    <r>
      <t>Previous surplus CO2 used (tonne CO</t>
    </r>
    <r>
      <rPr>
        <b/>
        <vertAlign val="subscript"/>
        <sz val="11"/>
        <color indexed="8"/>
        <rFont val="Calibri"/>
        <family val="2"/>
      </rPr>
      <t>2</t>
    </r>
    <r>
      <rPr>
        <b/>
        <sz val="11"/>
        <color indexed="8"/>
        <rFont val="Calibri"/>
        <family val="2"/>
      </rPr>
      <t>)</t>
    </r>
  </si>
  <si>
    <t>Base Line Performance (for 1 year)</t>
  </si>
  <si>
    <t>TP Target in agreement (for 2 years)</t>
  </si>
  <si>
    <t>Template version: 3</t>
  </si>
  <si>
    <t>Template date: 26/01/2015</t>
  </si>
</sst>
</file>

<file path=xl/styles.xml><?xml version="1.0" encoding="utf-8"?>
<styleSheet xmlns="http://schemas.openxmlformats.org/spreadsheetml/2006/main">
  <numFmts count="14">
    <numFmt numFmtId="43" formatCode="_-* #,##0.00_-;\-* #,##0.00_-;_-* &quot;-&quot;??_-;_-@_-"/>
    <numFmt numFmtId="164" formatCode="0.000%"/>
    <numFmt numFmtId="165" formatCode="0.000"/>
    <numFmt numFmtId="166" formatCode="0.00000"/>
    <numFmt numFmtId="167" formatCode="0.0000000%"/>
    <numFmt numFmtId="169" formatCode="&quot;£&quot;#,##0"/>
    <numFmt numFmtId="170" formatCode="0.0"/>
    <numFmt numFmtId="171" formatCode="0.0000000"/>
    <numFmt numFmtId="172" formatCode="_-* #,##0.000_-;\-* #,##0.000_-;_-* &quot;-&quot;??_-;_-@_-"/>
    <numFmt numFmtId="174" formatCode="#,##0.000_ ;\-#,##0.000\ "/>
    <numFmt numFmtId="175" formatCode="#,##0_ ;\-#,##0\ "/>
    <numFmt numFmtId="183" formatCode="#,##0.000"/>
    <numFmt numFmtId="185" formatCode="0_ ;\-0\ "/>
    <numFmt numFmtId="190" formatCode="#,##0.00000"/>
  </numFmts>
  <fonts count="26">
    <font>
      <sz val="11"/>
      <color theme="1"/>
      <name val="Calibri"/>
      <family val="2"/>
      <scheme val="minor"/>
    </font>
    <font>
      <sz val="11"/>
      <color indexed="8"/>
      <name val="Calibri"/>
      <family val="2"/>
    </font>
    <font>
      <sz val="9"/>
      <color indexed="81"/>
      <name val="Tahoma"/>
      <family val="2"/>
    </font>
    <font>
      <vertAlign val="subscript"/>
      <sz val="11"/>
      <color indexed="8"/>
      <name val="Calibri"/>
      <family val="2"/>
    </font>
    <font>
      <b/>
      <sz val="9"/>
      <color indexed="81"/>
      <name val="Tahoma"/>
      <family val="2"/>
    </font>
    <font>
      <b/>
      <sz val="11"/>
      <color indexed="8"/>
      <name val="Calibri"/>
      <family val="2"/>
    </font>
    <font>
      <b/>
      <vertAlign val="subscript"/>
      <sz val="11"/>
      <color indexed="8"/>
      <name val="Calibri"/>
      <family val="2"/>
    </font>
    <font>
      <b/>
      <sz val="11"/>
      <color indexed="8"/>
      <name val="Calibri"/>
      <family val="2"/>
    </font>
    <font>
      <b/>
      <vertAlign val="subscript"/>
      <sz val="11"/>
      <color indexed="8"/>
      <name val="Calibri"/>
      <family val="2"/>
    </font>
    <font>
      <sz val="9"/>
      <color indexed="8"/>
      <name val="Calibri"/>
      <family val="2"/>
    </font>
    <font>
      <b/>
      <sz val="11"/>
      <color indexed="8"/>
      <name val="Calibri"/>
      <family val="2"/>
    </font>
    <font>
      <b/>
      <vertAlign val="subscript"/>
      <sz val="11"/>
      <color indexed="8"/>
      <name val="Calibri"/>
      <family val="2"/>
    </font>
    <font>
      <sz val="11"/>
      <color theme="1"/>
      <name val="Calibri"/>
      <family val="2"/>
      <scheme val="minor"/>
    </font>
    <font>
      <sz val="11"/>
      <color theme="0"/>
      <name val="Calibri"/>
      <family val="2"/>
      <scheme val="minor"/>
    </font>
    <font>
      <b/>
      <sz val="11"/>
      <color theme="1"/>
      <name val="Calibri"/>
      <family val="2"/>
      <scheme val="minor"/>
    </font>
    <font>
      <b/>
      <sz val="20"/>
      <color theme="0"/>
      <name val="Calibri"/>
      <family val="2"/>
      <scheme val="minor"/>
    </font>
    <font>
      <b/>
      <sz val="12"/>
      <name val="Calibri"/>
      <family val="2"/>
      <scheme val="minor"/>
    </font>
    <font>
      <b/>
      <sz val="10"/>
      <color theme="1"/>
      <name val="Calibri"/>
      <family val="2"/>
      <scheme val="minor"/>
    </font>
    <font>
      <b/>
      <sz val="14"/>
      <name val="Calibri"/>
      <family val="2"/>
      <scheme val="minor"/>
    </font>
    <font>
      <sz val="10"/>
      <color theme="1"/>
      <name val="Calibri"/>
      <family val="2"/>
      <scheme val="minor"/>
    </font>
    <font>
      <b/>
      <sz val="20"/>
      <name val="Calibri"/>
      <family val="2"/>
      <scheme val="minor"/>
    </font>
    <font>
      <b/>
      <sz val="20"/>
      <color theme="1"/>
      <name val="Calibri"/>
      <family val="2"/>
      <scheme val="minor"/>
    </font>
    <font>
      <sz val="12"/>
      <name val="Calibri"/>
      <family val="2"/>
      <scheme val="minor"/>
    </font>
    <font>
      <b/>
      <sz val="14"/>
      <color theme="1"/>
      <name val="Calibri"/>
      <family val="2"/>
      <scheme val="minor"/>
    </font>
    <font>
      <sz val="6"/>
      <color theme="1"/>
      <name val="Calibri"/>
      <family val="2"/>
      <scheme val="minor"/>
    </font>
    <font>
      <sz val="8"/>
      <color theme="1"/>
      <name val="Calibri"/>
      <family val="2"/>
      <scheme val="minor"/>
    </font>
  </fonts>
  <fills count="15">
    <fill>
      <patternFill patternType="none"/>
    </fill>
    <fill>
      <patternFill patternType="gray125"/>
    </fill>
    <fill>
      <patternFill patternType="solid">
        <fgColor indexed="65"/>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92D050"/>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3"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233">
    <xf numFmtId="0" fontId="0" fillId="0" borderId="0" xfId="0"/>
    <xf numFmtId="0" fontId="14" fillId="0" borderId="0" xfId="0" applyFont="1" applyFill="1" applyBorder="1" applyAlignment="1">
      <alignment horizontal="left" vertical="center" wrapText="1"/>
    </xf>
    <xf numFmtId="0" fontId="0" fillId="3" borderId="1" xfId="0" applyFont="1" applyFill="1" applyBorder="1"/>
    <xf numFmtId="0" fontId="15" fillId="4" borderId="0" xfId="0" applyFont="1" applyFill="1" applyProtection="1"/>
    <xf numFmtId="0" fontId="0" fillId="4" borderId="0" xfId="0" applyFill="1" applyProtection="1"/>
    <xf numFmtId="0" fontId="16" fillId="0" borderId="0" xfId="0" applyFont="1" applyFill="1" applyAlignment="1" applyProtection="1">
      <alignment vertical="top" wrapText="1"/>
    </xf>
    <xf numFmtId="0" fontId="0" fillId="0" borderId="0" xfId="0" applyFill="1" applyProtection="1"/>
    <xf numFmtId="0" fontId="15" fillId="0" borderId="0" xfId="0" applyFont="1" applyFill="1" applyProtection="1"/>
    <xf numFmtId="0" fontId="17" fillId="0" borderId="0" xfId="0" applyFont="1" applyFill="1" applyBorder="1" applyAlignment="1" applyProtection="1">
      <alignment horizontal="center" vertical="center" wrapText="1"/>
    </xf>
    <xf numFmtId="167" fontId="0" fillId="0" borderId="0" xfId="0" applyNumberFormat="1" applyFill="1" applyProtection="1"/>
    <xf numFmtId="0" fontId="14" fillId="0" borderId="0" xfId="0" applyFont="1" applyFill="1" applyBorder="1" applyAlignment="1" applyProtection="1">
      <alignment horizontal="center"/>
    </xf>
    <xf numFmtId="0" fontId="0" fillId="0" borderId="0" xfId="0" applyProtection="1"/>
    <xf numFmtId="0" fontId="0" fillId="0" borderId="2" xfId="0" applyFill="1" applyBorder="1" applyProtection="1"/>
    <xf numFmtId="0" fontId="0" fillId="0" borderId="3" xfId="0" applyFill="1" applyBorder="1" applyAlignment="1" applyProtection="1"/>
    <xf numFmtId="0" fontId="0" fillId="0" borderId="0" xfId="0" applyFill="1" applyBorder="1" applyAlignment="1" applyProtection="1"/>
    <xf numFmtId="0" fontId="0" fillId="0" borderId="3" xfId="0" applyFill="1" applyBorder="1" applyProtection="1"/>
    <xf numFmtId="0" fontId="0" fillId="0" borderId="0" xfId="0" applyFill="1" applyBorder="1" applyProtection="1"/>
    <xf numFmtId="0" fontId="14" fillId="0" borderId="3" xfId="0" applyFont="1" applyFill="1" applyBorder="1" applyAlignment="1" applyProtection="1">
      <alignment wrapText="1"/>
    </xf>
    <xf numFmtId="0" fontId="14" fillId="0" borderId="0" xfId="0" applyFont="1" applyFill="1" applyBorder="1" applyAlignment="1" applyProtection="1">
      <alignment wrapText="1"/>
    </xf>
    <xf numFmtId="0" fontId="0" fillId="0" borderId="0" xfId="0" applyBorder="1" applyProtection="1"/>
    <xf numFmtId="0" fontId="14" fillId="0" borderId="0" xfId="0" applyFont="1" applyFill="1" applyBorder="1" applyAlignment="1" applyProtection="1">
      <alignment vertical="center"/>
    </xf>
    <xf numFmtId="165" fontId="0" fillId="0" borderId="0" xfId="0" applyNumberFormat="1" applyFill="1" applyBorder="1" applyProtection="1"/>
    <xf numFmtId="164" fontId="0" fillId="0" borderId="3" xfId="0" applyNumberFormat="1" applyFill="1" applyBorder="1" applyProtection="1"/>
    <xf numFmtId="164" fontId="0" fillId="0" borderId="0" xfId="0" applyNumberFormat="1" applyFill="1" applyBorder="1" applyProtection="1"/>
    <xf numFmtId="10" fontId="0" fillId="0" borderId="0" xfId="0" applyNumberFormat="1" applyFill="1" applyBorder="1" applyProtection="1"/>
    <xf numFmtId="0" fontId="14" fillId="3" borderId="1" xfId="0" applyFont="1" applyFill="1" applyBorder="1" applyAlignment="1" applyProtection="1">
      <alignment vertical="center" wrapText="1"/>
    </xf>
    <xf numFmtId="0" fontId="14" fillId="0" borderId="4" xfId="0" applyFont="1" applyFill="1" applyBorder="1" applyAlignment="1" applyProtection="1">
      <alignment vertical="center" wrapText="1"/>
    </xf>
    <xf numFmtId="0" fontId="14" fillId="0" borderId="4" xfId="0" applyFont="1" applyFill="1" applyBorder="1" applyAlignment="1" applyProtection="1">
      <alignment wrapText="1"/>
    </xf>
    <xf numFmtId="0" fontId="0" fillId="0" borderId="4" xfId="0" applyFill="1" applyBorder="1" applyProtection="1"/>
    <xf numFmtId="0" fontId="14" fillId="0" borderId="5" xfId="0" applyFont="1" applyFill="1" applyBorder="1" applyAlignment="1" applyProtection="1">
      <alignment wrapText="1"/>
    </xf>
    <xf numFmtId="0" fontId="14" fillId="0" borderId="5" xfId="0" applyFont="1" applyFill="1" applyBorder="1" applyAlignment="1" applyProtection="1">
      <alignment vertical="center"/>
    </xf>
    <xf numFmtId="0" fontId="14" fillId="3" borderId="1" xfId="0" applyFont="1" applyFill="1" applyBorder="1" applyAlignment="1" applyProtection="1">
      <alignment wrapText="1"/>
    </xf>
    <xf numFmtId="0" fontId="0" fillId="5" borderId="1" xfId="0" applyFill="1" applyBorder="1" applyProtection="1"/>
    <xf numFmtId="0" fontId="0" fillId="0" borderId="0" xfId="0" applyFill="1" applyAlignment="1" applyProtection="1">
      <alignment wrapText="1"/>
    </xf>
    <xf numFmtId="169" fontId="0" fillId="0" borderId="0" xfId="0" applyNumberFormat="1" applyFill="1" applyBorder="1" applyProtection="1"/>
    <xf numFmtId="0" fontId="14" fillId="0" borderId="0" xfId="0" applyFont="1" applyFill="1" applyBorder="1" applyAlignment="1" applyProtection="1">
      <alignment horizontal="left" vertical="center" wrapText="1"/>
    </xf>
    <xf numFmtId="0" fontId="18" fillId="3" borderId="6" xfId="0" applyFont="1" applyFill="1" applyBorder="1" applyProtection="1"/>
    <xf numFmtId="0" fontId="14" fillId="6" borderId="7" xfId="0" applyFont="1" applyFill="1" applyBorder="1" applyAlignment="1" applyProtection="1">
      <alignment vertical="center" wrapText="1"/>
    </xf>
    <xf numFmtId="0" fontId="14" fillId="6" borderId="1" xfId="0" applyFont="1" applyFill="1" applyBorder="1" applyAlignment="1" applyProtection="1">
      <alignment vertical="center" wrapText="1"/>
    </xf>
    <xf numFmtId="0" fontId="14" fillId="7" borderId="8" xfId="0" applyFont="1" applyFill="1" applyBorder="1" applyAlignment="1" applyProtection="1">
      <alignment horizontal="center" vertical="center" wrapText="1"/>
    </xf>
    <xf numFmtId="0" fontId="0" fillId="0" borderId="0" xfId="0"/>
    <xf numFmtId="0" fontId="0" fillId="0" borderId="0" xfId="0" applyFill="1" applyBorder="1"/>
    <xf numFmtId="0" fontId="14" fillId="0" borderId="0" xfId="0" applyFont="1" applyFill="1" applyBorder="1" applyAlignment="1">
      <alignment wrapText="1"/>
    </xf>
    <xf numFmtId="0" fontId="0" fillId="0" borderId="0" xfId="0" applyFill="1"/>
    <xf numFmtId="0" fontId="14" fillId="3" borderId="8" xfId="0" applyFont="1" applyFill="1" applyBorder="1" applyAlignment="1" applyProtection="1">
      <alignment vertical="top" wrapText="1"/>
    </xf>
    <xf numFmtId="0" fontId="14" fillId="3" borderId="9" xfId="0" applyFont="1" applyFill="1" applyBorder="1" applyAlignment="1" applyProtection="1">
      <alignment vertical="top" wrapText="1"/>
    </xf>
    <xf numFmtId="0" fontId="0" fillId="0" borderId="0" xfId="0" applyFont="1" applyFill="1" applyBorder="1"/>
    <xf numFmtId="0" fontId="19" fillId="0" borderId="0" xfId="0" applyFont="1" applyFill="1" applyBorder="1"/>
    <xf numFmtId="164" fontId="19" fillId="0" borderId="0" xfId="0" applyNumberFormat="1" applyFont="1" applyFill="1" applyBorder="1" applyAlignment="1">
      <alignment horizontal="center"/>
    </xf>
    <xf numFmtId="170" fontId="19" fillId="0" borderId="0" xfId="0" applyNumberFormat="1" applyFont="1" applyFill="1" applyBorder="1" applyAlignment="1"/>
    <xf numFmtId="165" fontId="19" fillId="0" borderId="0" xfId="0" applyNumberFormat="1" applyFont="1" applyFill="1" applyBorder="1"/>
    <xf numFmtId="0" fontId="14" fillId="3" borderId="1" xfId="0" applyFont="1" applyFill="1" applyBorder="1" applyAlignment="1" applyProtection="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pplyProtection="1">
      <alignment horizontal="center" vertical="center"/>
    </xf>
    <xf numFmtId="0" fontId="0" fillId="3" borderId="1" xfId="0" applyFont="1" applyFill="1" applyBorder="1" applyAlignment="1">
      <alignment vertical="center"/>
    </xf>
    <xf numFmtId="0" fontId="14" fillId="3" borderId="1"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9" fillId="0" borderId="0" xfId="0" applyFont="1" applyFill="1" applyBorder="1" applyAlignment="1">
      <alignment horizontal="center" vertical="center" wrapText="1"/>
    </xf>
    <xf numFmtId="165" fontId="19" fillId="0" borderId="3" xfId="0" applyNumberFormat="1" applyFont="1" applyFill="1" applyBorder="1"/>
    <xf numFmtId="165" fontId="19" fillId="0" borderId="0" xfId="0" applyNumberFormat="1" applyFont="1" applyFill="1" applyBorder="1" applyAlignment="1">
      <alignment vertical="center"/>
    </xf>
    <xf numFmtId="165" fontId="19" fillId="0" borderId="0" xfId="0" applyNumberFormat="1" applyFont="1" applyFill="1" applyBorder="1" applyAlignment="1"/>
    <xf numFmtId="164" fontId="19" fillId="0" borderId="3" xfId="0" applyNumberFormat="1" applyFont="1" applyFill="1" applyBorder="1"/>
    <xf numFmtId="164" fontId="19" fillId="0" borderId="0" xfId="0" applyNumberFormat="1" applyFont="1" applyFill="1" applyBorder="1"/>
    <xf numFmtId="164" fontId="19" fillId="0" borderId="0" xfId="0" applyNumberFormat="1" applyFont="1" applyFill="1" applyBorder="1" applyAlignment="1"/>
    <xf numFmtId="165" fontId="19" fillId="0" borderId="0" xfId="0" applyNumberFormat="1" applyFont="1" applyFill="1" applyBorder="1" applyAlignment="1">
      <alignment horizontal="center"/>
    </xf>
    <xf numFmtId="165" fontId="19" fillId="0" borderId="3" xfId="0" applyNumberFormat="1" applyFont="1" applyFill="1" applyBorder="1" applyAlignment="1">
      <alignment horizontal="center"/>
    </xf>
    <xf numFmtId="0" fontId="18" fillId="3" borderId="6" xfId="0" applyFont="1" applyFill="1" applyBorder="1" applyAlignment="1" applyProtection="1">
      <alignment vertical="center"/>
    </xf>
    <xf numFmtId="171" fontId="0" fillId="0" borderId="0" xfId="0" applyNumberFormat="1" applyFill="1" applyBorder="1" applyProtection="1"/>
    <xf numFmtId="0" fontId="0" fillId="3" borderId="1" xfId="0" applyFont="1" applyFill="1" applyBorder="1" applyAlignment="1">
      <alignment horizontal="left" vertical="center" wrapText="1"/>
    </xf>
    <xf numFmtId="0" fontId="0" fillId="3" borderId="1" xfId="0" applyFont="1" applyFill="1" applyBorder="1" applyAlignment="1">
      <alignment vertical="center" wrapText="1"/>
    </xf>
    <xf numFmtId="0" fontId="20" fillId="0" borderId="0" xfId="0" applyFont="1" applyFill="1" applyAlignment="1" applyProtection="1">
      <alignment horizontal="left" vertical="center"/>
    </xf>
    <xf numFmtId="172" fontId="12" fillId="8" borderId="1" xfId="1" applyNumberFormat="1" applyFont="1" applyFill="1" applyBorder="1" applyProtection="1">
      <protection locked="0"/>
    </xf>
    <xf numFmtId="172" fontId="12" fillId="7" borderId="1" xfId="1" applyNumberFormat="1" applyFont="1" applyFill="1" applyBorder="1"/>
    <xf numFmtId="0" fontId="14" fillId="0" borderId="0" xfId="0" applyFont="1" applyFill="1" applyBorder="1" applyAlignment="1" applyProtection="1">
      <alignment horizontal="center" wrapText="1"/>
    </xf>
    <xf numFmtId="0" fontId="14" fillId="0" borderId="5" xfId="0" applyFont="1" applyFill="1" applyBorder="1" applyAlignment="1" applyProtection="1">
      <alignment horizontal="center" wrapText="1"/>
    </xf>
    <xf numFmtId="165" fontId="19" fillId="0" borderId="0" xfId="0" applyNumberFormat="1" applyFont="1" applyFill="1" applyBorder="1" applyAlignment="1">
      <alignment horizontal="center"/>
    </xf>
    <xf numFmtId="0" fontId="0" fillId="9" borderId="0" xfId="0" applyFill="1" applyBorder="1" applyAlignment="1">
      <alignment vertical="center" wrapText="1"/>
    </xf>
    <xf numFmtId="0" fontId="15" fillId="0" borderId="0" xfId="0" applyFont="1" applyFill="1" applyAlignment="1" applyProtection="1">
      <alignment vertical="center"/>
    </xf>
    <xf numFmtId="0" fontId="15" fillId="4" borderId="10" xfId="0" applyFont="1" applyFill="1" applyBorder="1" applyAlignment="1" applyProtection="1">
      <alignment vertical="center"/>
    </xf>
    <xf numFmtId="0" fontId="15" fillId="4" borderId="11" xfId="0" applyFont="1" applyFill="1" applyBorder="1" applyAlignment="1" applyProtection="1">
      <alignment vertical="center"/>
    </xf>
    <xf numFmtId="0" fontId="15" fillId="4" borderId="12" xfId="0" applyFont="1" applyFill="1" applyBorder="1" applyAlignment="1" applyProtection="1">
      <alignment vertical="center"/>
    </xf>
    <xf numFmtId="0" fontId="0" fillId="9" borderId="13" xfId="0" applyFill="1" applyBorder="1"/>
    <xf numFmtId="0" fontId="0" fillId="9" borderId="0" xfId="0" applyFill="1" applyBorder="1"/>
    <xf numFmtId="0" fontId="0" fillId="9" borderId="14" xfId="0" applyFill="1" applyBorder="1"/>
    <xf numFmtId="0" fontId="0" fillId="9" borderId="15" xfId="0" applyFill="1" applyBorder="1"/>
    <xf numFmtId="0" fontId="0" fillId="9" borderId="16" xfId="0" applyFill="1" applyBorder="1"/>
    <xf numFmtId="0" fontId="0" fillId="7" borderId="1" xfId="0" applyFill="1" applyBorder="1"/>
    <xf numFmtId="0" fontId="14" fillId="10" borderId="1" xfId="0" applyFont="1" applyFill="1" applyBorder="1" applyAlignment="1" applyProtection="1">
      <alignment wrapText="1"/>
      <protection locked="0"/>
    </xf>
    <xf numFmtId="0" fontId="0" fillId="10" borderId="1" xfId="0" applyFill="1" applyBorder="1" applyProtection="1">
      <protection locked="0"/>
    </xf>
    <xf numFmtId="0" fontId="0" fillId="7" borderId="1" xfId="0" applyNumberFormat="1" applyFont="1" applyFill="1" applyBorder="1" applyAlignment="1" applyProtection="1">
      <alignment vertical="center"/>
      <protection locked="0"/>
    </xf>
    <xf numFmtId="0" fontId="14" fillId="7" borderId="1" xfId="0" applyFont="1" applyFill="1" applyBorder="1" applyAlignment="1">
      <alignment horizontal="center"/>
    </xf>
    <xf numFmtId="0" fontId="14" fillId="3" borderId="1" xfId="0" applyFont="1" applyFill="1" applyBorder="1" applyAlignment="1">
      <alignment vertical="center"/>
    </xf>
    <xf numFmtId="0" fontId="14" fillId="11" borderId="1" xfId="0" applyFont="1" applyFill="1" applyBorder="1" applyAlignment="1">
      <alignment horizontal="center" vertical="center"/>
    </xf>
    <xf numFmtId="0" fontId="0" fillId="9" borderId="17" xfId="0" applyFill="1" applyBorder="1"/>
    <xf numFmtId="0" fontId="0" fillId="8" borderId="18" xfId="0" applyFill="1" applyBorder="1" applyProtection="1">
      <protection locked="0"/>
    </xf>
    <xf numFmtId="0" fontId="0" fillId="8" borderId="19" xfId="0" applyFill="1" applyBorder="1" applyProtection="1">
      <protection locked="0"/>
    </xf>
    <xf numFmtId="0" fontId="0" fillId="7" borderId="19" xfId="0" applyFill="1" applyBorder="1"/>
    <xf numFmtId="0" fontId="0" fillId="3" borderId="1" xfId="0" applyFill="1" applyBorder="1" applyAlignment="1">
      <alignment horizontal="center" vertical="center"/>
    </xf>
    <xf numFmtId="165" fontId="0" fillId="7" borderId="1" xfId="0" applyNumberFormat="1" applyFill="1" applyBorder="1" applyAlignment="1" applyProtection="1">
      <alignment horizontal="right" vertical="center"/>
    </xf>
    <xf numFmtId="169" fontId="0" fillId="11" borderId="1" xfId="0" applyNumberFormat="1" applyFill="1" applyBorder="1" applyAlignment="1" applyProtection="1">
      <alignment horizontal="right" vertical="center"/>
    </xf>
    <xf numFmtId="0" fontId="0" fillId="0" borderId="3" xfId="0" applyFill="1" applyBorder="1" applyAlignment="1" applyProtection="1">
      <alignment horizontal="right" vertical="center"/>
    </xf>
    <xf numFmtId="175" fontId="12" fillId="8" borderId="1" xfId="1" applyNumberFormat="1" applyFont="1" applyFill="1" applyBorder="1" applyProtection="1">
      <protection locked="0"/>
    </xf>
    <xf numFmtId="174" fontId="12" fillId="7" borderId="1" xfId="1" applyNumberFormat="1" applyFont="1" applyFill="1" applyBorder="1" applyAlignment="1">
      <alignment vertical="center"/>
    </xf>
    <xf numFmtId="183" fontId="12" fillId="7" borderId="1" xfId="1" applyNumberFormat="1" applyFont="1" applyFill="1" applyBorder="1" applyAlignment="1">
      <alignment vertical="center"/>
    </xf>
    <xf numFmtId="172" fontId="12" fillId="0" borderId="20" xfId="1" applyNumberFormat="1" applyFont="1" applyFill="1" applyBorder="1" applyProtection="1">
      <protection locked="0"/>
    </xf>
    <xf numFmtId="0" fontId="21" fillId="0" borderId="0" xfId="0" applyFont="1" applyFill="1" applyBorder="1" applyAlignment="1" applyProtection="1">
      <alignment horizontal="left" vertical="center" wrapText="1"/>
    </xf>
    <xf numFmtId="0" fontId="0" fillId="9" borderId="0" xfId="0" applyFill="1"/>
    <xf numFmtId="0" fontId="14" fillId="8" borderId="0" xfId="0" applyFont="1" applyFill="1"/>
    <xf numFmtId="0" fontId="0" fillId="8" borderId="0" xfId="0" applyFill="1"/>
    <xf numFmtId="0" fontId="0" fillId="9" borderId="0" xfId="0" applyFill="1" applyAlignment="1">
      <alignment horizontal="left" wrapText="1"/>
    </xf>
    <xf numFmtId="0" fontId="14" fillId="9" borderId="0" xfId="0" applyFont="1" applyFill="1"/>
    <xf numFmtId="0" fontId="0" fillId="9" borderId="0" xfId="0" applyFont="1" applyFill="1"/>
    <xf numFmtId="0" fontId="13" fillId="4" borderId="0" xfId="0" applyFont="1" applyFill="1" applyProtection="1"/>
    <xf numFmtId="0" fontId="22" fillId="0" borderId="0" xfId="0" applyFont="1" applyFill="1" applyAlignment="1" applyProtection="1">
      <alignment vertical="top" wrapText="1"/>
    </xf>
    <xf numFmtId="0" fontId="18" fillId="3" borderId="6" xfId="0" applyFont="1" applyFill="1" applyBorder="1" applyAlignment="1" applyProtection="1">
      <alignment horizontal="left" vertical="center"/>
    </xf>
    <xf numFmtId="0" fontId="18" fillId="0" borderId="0" xfId="0" applyFont="1" applyFill="1" applyBorder="1" applyProtection="1"/>
    <xf numFmtId="0" fontId="18" fillId="0" borderId="0" xfId="0" applyFont="1" applyFill="1" applyBorder="1" applyProtection="1">
      <protection locked="0"/>
    </xf>
    <xf numFmtId="0" fontId="23" fillId="0" borderId="21" xfId="0" applyFont="1" applyFill="1" applyBorder="1"/>
    <xf numFmtId="185" fontId="12" fillId="5" borderId="1" xfId="1" applyNumberFormat="1" applyFont="1" applyFill="1" applyBorder="1" applyAlignment="1" applyProtection="1">
      <alignment horizontal="right" vertical="center"/>
      <protection locked="0"/>
    </xf>
    <xf numFmtId="169" fontId="0" fillId="0" borderId="3" xfId="0" applyNumberFormat="1" applyFill="1" applyBorder="1" applyProtection="1"/>
    <xf numFmtId="1" fontId="0" fillId="0" borderId="3" xfId="0" applyNumberFormat="1" applyFill="1" applyBorder="1" applyProtection="1"/>
    <xf numFmtId="0" fontId="24" fillId="2" borderId="0" xfId="0" applyFont="1" applyFill="1" applyProtection="1"/>
    <xf numFmtId="0" fontId="0" fillId="3" borderId="8" xfId="0" applyFill="1" applyBorder="1" applyAlignment="1" applyProtection="1">
      <alignment horizontal="center" vertical="center" wrapText="1"/>
    </xf>
    <xf numFmtId="165" fontId="0" fillId="12" borderId="1" xfId="0" applyNumberFormat="1" applyFill="1" applyBorder="1" applyProtection="1"/>
    <xf numFmtId="164" fontId="0" fillId="12" borderId="1" xfId="0" applyNumberFormat="1" applyFill="1" applyBorder="1" applyProtection="1"/>
    <xf numFmtId="0" fontId="14" fillId="3" borderId="8"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165" fontId="0" fillId="6" borderId="8" xfId="0" applyNumberFormat="1" applyFill="1" applyBorder="1"/>
    <xf numFmtId="0" fontId="14" fillId="3" borderId="8" xfId="0" applyFont="1" applyFill="1" applyBorder="1" applyAlignment="1" applyProtection="1">
      <alignment horizontal="center" vertical="center" wrapText="1"/>
    </xf>
    <xf numFmtId="0" fontId="14" fillId="3" borderId="23" xfId="0" applyFont="1" applyFill="1" applyBorder="1" applyAlignment="1" applyProtection="1">
      <alignment horizontal="center" vertical="center"/>
    </xf>
    <xf numFmtId="0" fontId="14" fillId="7" borderId="23" xfId="0" applyFont="1" applyFill="1" applyBorder="1" applyAlignment="1" applyProtection="1">
      <alignment horizontal="center" vertical="center"/>
    </xf>
    <xf numFmtId="0" fontId="14" fillId="3" borderId="1" xfId="0" applyFont="1" applyFill="1" applyBorder="1" applyAlignment="1" applyProtection="1">
      <alignment horizontal="center" vertical="center" wrapText="1"/>
    </xf>
    <xf numFmtId="165" fontId="0" fillId="6" borderId="8" xfId="0" applyNumberFormat="1" applyFill="1" applyBorder="1" applyProtection="1">
      <protection locked="0"/>
    </xf>
    <xf numFmtId="165" fontId="0" fillId="6" borderId="23" xfId="0" applyNumberFormat="1" applyFill="1" applyBorder="1"/>
    <xf numFmtId="0" fontId="0" fillId="11" borderId="1" xfId="0" applyFill="1" applyBorder="1" applyAlignment="1" applyProtection="1">
      <alignment horizontal="right" vertical="center"/>
    </xf>
    <xf numFmtId="0" fontId="0" fillId="12" borderId="24" xfId="0" applyFill="1" applyBorder="1" applyAlignment="1" applyProtection="1">
      <alignment horizontal="center" vertical="center"/>
      <protection locked="0"/>
    </xf>
    <xf numFmtId="0" fontId="0" fillId="12" borderId="8" xfId="0" applyFill="1" applyBorder="1" applyAlignment="1" applyProtection="1">
      <alignment horizontal="center" vertical="center"/>
      <protection locked="0"/>
    </xf>
    <xf numFmtId="14" fontId="0" fillId="12" borderId="8" xfId="0" applyNumberFormat="1" applyFill="1" applyBorder="1" applyAlignment="1" applyProtection="1">
      <alignment horizontal="center" vertical="center"/>
      <protection locked="0"/>
    </xf>
    <xf numFmtId="0" fontId="14" fillId="12" borderId="22" xfId="0" applyFont="1" applyFill="1" applyBorder="1" applyAlignment="1" applyProtection="1">
      <alignment horizontal="center" vertical="center"/>
      <protection locked="0"/>
    </xf>
    <xf numFmtId="0" fontId="18" fillId="3" borderId="25" xfId="0" applyFont="1" applyFill="1" applyBorder="1" applyProtection="1"/>
    <xf numFmtId="0" fontId="14" fillId="9" borderId="0" xfId="0" applyFont="1" applyFill="1" applyBorder="1" applyAlignment="1" applyProtection="1">
      <alignment horizontal="center" vertical="center" wrapText="1"/>
    </xf>
    <xf numFmtId="0" fontId="14" fillId="10" borderId="25" xfId="0" applyFont="1" applyFill="1" applyBorder="1" applyAlignment="1" applyProtection="1">
      <alignment horizontal="center"/>
    </xf>
    <xf numFmtId="172" fontId="12" fillId="13" borderId="19" xfId="1" applyNumberFormat="1" applyFont="1" applyFill="1" applyBorder="1" applyProtection="1">
      <protection locked="0"/>
    </xf>
    <xf numFmtId="172" fontId="12" fillId="13" borderId="26" xfId="1" applyNumberFormat="1" applyFont="1" applyFill="1" applyBorder="1" applyProtection="1">
      <protection locked="0"/>
    </xf>
    <xf numFmtId="0" fontId="25" fillId="11" borderId="23" xfId="0" applyFont="1" applyFill="1" applyBorder="1" applyProtection="1"/>
    <xf numFmtId="165" fontId="25" fillId="11" borderId="23" xfId="0" applyNumberFormat="1" applyFont="1" applyFill="1" applyBorder="1" applyProtection="1"/>
    <xf numFmtId="0" fontId="18" fillId="12" borderId="6" xfId="0" applyFont="1" applyFill="1" applyBorder="1" applyAlignment="1" applyProtection="1">
      <alignment vertical="center"/>
      <protection locked="0"/>
    </xf>
    <xf numFmtId="0" fontId="18" fillId="10" borderId="25" xfId="0" applyFont="1" applyFill="1" applyBorder="1" applyAlignment="1" applyProtection="1">
      <alignment vertical="center"/>
      <protection locked="0"/>
    </xf>
    <xf numFmtId="0" fontId="18" fillId="10" borderId="27" xfId="0" applyFont="1" applyFill="1" applyBorder="1" applyAlignment="1" applyProtection="1">
      <alignment vertical="center"/>
      <protection locked="0"/>
    </xf>
    <xf numFmtId="0" fontId="0" fillId="12" borderId="8" xfId="0" applyFill="1" applyBorder="1" applyAlignment="1" applyProtection="1">
      <alignment horizontal="left" vertical="center" wrapText="1"/>
      <protection locked="0"/>
    </xf>
    <xf numFmtId="164" fontId="0" fillId="12" borderId="8" xfId="0" applyNumberFormat="1" applyFill="1" applyBorder="1" applyAlignment="1" applyProtection="1">
      <alignment horizontal="right" vertical="center"/>
      <protection locked="0"/>
    </xf>
    <xf numFmtId="0" fontId="12" fillId="13" borderId="1" xfId="1" applyNumberFormat="1" applyFont="1" applyFill="1" applyBorder="1" applyAlignment="1" applyProtection="1">
      <alignment horizontal="right" vertical="center"/>
      <protection locked="0"/>
    </xf>
    <xf numFmtId="0" fontId="14" fillId="3" borderId="8" xfId="0" applyFont="1" applyFill="1" applyBorder="1" applyAlignment="1" applyProtection="1">
      <alignment horizontal="left" vertical="center" wrapText="1"/>
    </xf>
    <xf numFmtId="0" fontId="14" fillId="3" borderId="9" xfId="0" applyFont="1" applyFill="1" applyBorder="1" applyAlignment="1" applyProtection="1">
      <alignment horizontal="left" vertical="center" wrapText="1"/>
    </xf>
    <xf numFmtId="14" fontId="18" fillId="10" borderId="6" xfId="0" applyNumberFormat="1" applyFont="1" applyFill="1" applyBorder="1" applyAlignment="1" applyProtection="1">
      <alignment vertical="center"/>
      <protection locked="0"/>
    </xf>
    <xf numFmtId="0" fontId="0" fillId="3" borderId="1" xfId="0" applyFill="1" applyBorder="1" applyAlignment="1" applyProtection="1">
      <alignment vertical="center" wrapText="1"/>
    </xf>
    <xf numFmtId="174" fontId="12" fillId="12" borderId="8" xfId="1" applyNumberFormat="1" applyFont="1" applyFill="1" applyBorder="1" applyAlignment="1" applyProtection="1">
      <alignment horizontal="right" vertical="center"/>
      <protection locked="0"/>
    </xf>
    <xf numFmtId="3" fontId="0" fillId="14" borderId="8" xfId="0" applyNumberFormat="1" applyFill="1" applyBorder="1" applyAlignment="1" applyProtection="1">
      <alignment horizontal="center" vertical="center"/>
      <protection locked="0"/>
    </xf>
    <xf numFmtId="183" fontId="0" fillId="7" borderId="8" xfId="0" applyNumberFormat="1" applyFont="1" applyFill="1" applyBorder="1" applyProtection="1"/>
    <xf numFmtId="174" fontId="12" fillId="10" borderId="23" xfId="1" applyNumberFormat="1" applyFont="1" applyFill="1" applyBorder="1" applyProtection="1">
      <protection locked="0"/>
    </xf>
    <xf numFmtId="174" fontId="12" fillId="13" borderId="22" xfId="1" applyNumberFormat="1" applyFont="1" applyFill="1" applyBorder="1" applyProtection="1">
      <protection locked="0"/>
    </xf>
    <xf numFmtId="183" fontId="0" fillId="11" borderId="1" xfId="0" applyNumberFormat="1" applyFont="1" applyFill="1" applyBorder="1" applyAlignment="1" applyProtection="1">
      <alignment horizontal="right"/>
    </xf>
    <xf numFmtId="183" fontId="0" fillId="11" borderId="8" xfId="0" applyNumberFormat="1" applyFill="1" applyBorder="1"/>
    <xf numFmtId="174" fontId="12" fillId="7" borderId="23" xfId="1" applyNumberFormat="1" applyFont="1" applyFill="1" applyBorder="1" applyProtection="1"/>
    <xf numFmtId="183" fontId="0" fillId="7" borderId="22" xfId="0" applyNumberFormat="1" applyFill="1" applyBorder="1"/>
    <xf numFmtId="183" fontId="0" fillId="10" borderId="23" xfId="0" applyNumberFormat="1" applyFill="1" applyBorder="1" applyProtection="1">
      <protection locked="0"/>
    </xf>
    <xf numFmtId="0" fontId="12" fillId="13" borderId="1" xfId="1" applyNumberFormat="1" applyFont="1" applyFill="1" applyBorder="1" applyAlignment="1" applyProtection="1">
      <alignment vertical="center"/>
      <protection locked="0"/>
    </xf>
    <xf numFmtId="174" fontId="12" fillId="13" borderId="1" xfId="1" applyNumberFormat="1" applyFont="1" applyFill="1" applyBorder="1" applyAlignment="1" applyProtection="1">
      <alignment vertical="center"/>
      <protection locked="0"/>
    </xf>
    <xf numFmtId="164" fontId="0" fillId="3" borderId="1" xfId="0" applyNumberFormat="1" applyFont="1" applyFill="1" applyBorder="1" applyAlignment="1">
      <alignment vertical="center"/>
    </xf>
    <xf numFmtId="164" fontId="12" fillId="13" borderId="1" xfId="1" applyNumberFormat="1" applyFont="1" applyFill="1" applyBorder="1" applyAlignment="1" applyProtection="1">
      <alignment vertical="center"/>
      <protection locked="0"/>
    </xf>
    <xf numFmtId="172" fontId="12" fillId="8" borderId="1" xfId="1" applyNumberFormat="1" applyFont="1" applyFill="1" applyBorder="1" applyAlignment="1" applyProtection="1">
      <alignment vertical="center"/>
      <protection locked="0"/>
    </xf>
    <xf numFmtId="0" fontId="14" fillId="7" borderId="1" xfId="0" applyFont="1" applyFill="1" applyBorder="1" applyAlignment="1">
      <alignment horizontal="center" vertical="center"/>
    </xf>
    <xf numFmtId="164" fontId="0" fillId="7" borderId="1" xfId="0" applyNumberFormat="1" applyFont="1" applyFill="1" applyBorder="1" applyAlignment="1">
      <alignment vertical="center"/>
    </xf>
    <xf numFmtId="174" fontId="12" fillId="7" borderId="1" xfId="1" applyNumberFormat="1" applyFont="1" applyFill="1" applyBorder="1" applyAlignment="1">
      <alignment horizontal="right" vertical="center"/>
    </xf>
    <xf numFmtId="190" fontId="0" fillId="7" borderId="1" xfId="0" applyNumberFormat="1" applyFont="1" applyFill="1" applyBorder="1" applyAlignment="1">
      <alignment horizontal="right" vertical="center"/>
    </xf>
    <xf numFmtId="166" fontId="0" fillId="7" borderId="1" xfId="0" applyNumberFormat="1" applyFont="1" applyFill="1" applyBorder="1" applyAlignment="1">
      <alignment horizontal="right" vertical="center"/>
    </xf>
    <xf numFmtId="164" fontId="12" fillId="11" borderId="1" xfId="2" applyNumberFormat="1" applyFont="1" applyFill="1" applyBorder="1" applyAlignment="1">
      <alignment horizontal="right" vertical="center"/>
    </xf>
    <xf numFmtId="0" fontId="14" fillId="3" borderId="1" xfId="0" applyFont="1" applyFill="1" applyBorder="1" applyAlignment="1">
      <alignment vertical="center" wrapText="1"/>
    </xf>
    <xf numFmtId="0" fontId="14" fillId="3" borderId="8" xfId="0" applyFont="1" applyFill="1" applyBorder="1" applyAlignment="1">
      <alignment vertical="center" wrapText="1"/>
    </xf>
    <xf numFmtId="0" fontId="14" fillId="3" borderId="9" xfId="0" applyFont="1" applyFill="1" applyBorder="1" applyAlignment="1">
      <alignment vertical="center"/>
    </xf>
    <xf numFmtId="49" fontId="14" fillId="11" borderId="1" xfId="0" applyNumberFormat="1" applyFont="1" applyFill="1" applyBorder="1" applyAlignment="1">
      <alignment horizontal="center" vertical="center" wrapText="1"/>
    </xf>
    <xf numFmtId="165" fontId="12" fillId="11" borderId="1" xfId="1" applyNumberFormat="1" applyFont="1" applyFill="1" applyBorder="1" applyAlignment="1" applyProtection="1">
      <alignment horizontal="right" vertical="center"/>
    </xf>
    <xf numFmtId="175" fontId="12" fillId="11" borderId="1" xfId="1" applyNumberFormat="1" applyFont="1" applyFill="1" applyBorder="1" applyAlignment="1" applyProtection="1">
      <alignment horizontal="right" vertical="center"/>
    </xf>
    <xf numFmtId="174" fontId="12" fillId="10" borderId="1" xfId="1" applyNumberFormat="1" applyFont="1" applyFill="1" applyBorder="1" applyAlignment="1" applyProtection="1">
      <alignment vertical="center"/>
      <protection locked="0"/>
    </xf>
    <xf numFmtId="183" fontId="12" fillId="7" borderId="1" xfId="1" applyNumberFormat="1" applyFont="1" applyFill="1" applyBorder="1" applyAlignment="1" applyProtection="1">
      <alignment horizontal="right" vertical="center"/>
    </xf>
    <xf numFmtId="183" fontId="0" fillId="7" borderId="1" xfId="0" applyNumberFormat="1" applyFill="1" applyBorder="1" applyAlignment="1" applyProtection="1">
      <alignment horizontal="right" vertical="center"/>
    </xf>
    <xf numFmtId="183" fontId="0" fillId="11" borderId="1" xfId="0" applyNumberFormat="1" applyFill="1" applyBorder="1" applyAlignment="1" applyProtection="1">
      <alignment horizontal="right" vertical="center"/>
    </xf>
    <xf numFmtId="3" fontId="0" fillId="11" borderId="1" xfId="0" applyNumberFormat="1" applyFill="1" applyBorder="1" applyAlignment="1" applyProtection="1">
      <alignment horizontal="right" vertical="center"/>
    </xf>
    <xf numFmtId="3" fontId="0" fillId="12" borderId="1" xfId="0" applyNumberFormat="1" applyFill="1" applyBorder="1" applyAlignment="1" applyProtection="1">
      <alignment horizontal="right" vertical="center"/>
      <protection locked="0"/>
    </xf>
    <xf numFmtId="3" fontId="0" fillId="12" borderId="8" xfId="0" applyNumberFormat="1" applyFill="1" applyBorder="1" applyAlignment="1" applyProtection="1">
      <alignment horizontal="right" vertical="center"/>
      <protection locked="0"/>
    </xf>
    <xf numFmtId="0" fontId="0" fillId="3" borderId="1" xfId="0" applyFont="1" applyFill="1" applyBorder="1" applyAlignment="1">
      <alignment horizontal="center" vertical="center"/>
    </xf>
    <xf numFmtId="0" fontId="0" fillId="9" borderId="0" xfId="0" applyFill="1" applyAlignment="1">
      <alignment horizontal="left" wrapText="1"/>
    </xf>
    <xf numFmtId="0" fontId="14" fillId="3" borderId="1" xfId="0" applyFont="1" applyFill="1" applyBorder="1" applyAlignment="1" applyProtection="1">
      <alignment horizontal="center" vertical="center" wrapText="1"/>
    </xf>
    <xf numFmtId="0" fontId="14" fillId="12" borderId="6" xfId="0" applyFont="1" applyFill="1" applyBorder="1" applyAlignment="1" applyProtection="1">
      <alignment horizontal="center" vertical="center"/>
    </xf>
    <xf numFmtId="0" fontId="14" fillId="7" borderId="6" xfId="0" applyFont="1" applyFill="1" applyBorder="1" applyAlignment="1" applyProtection="1">
      <alignment horizontal="center"/>
    </xf>
    <xf numFmtId="0" fontId="14" fillId="11" borderId="29" xfId="0" applyFont="1" applyFill="1" applyBorder="1" applyAlignment="1" applyProtection="1">
      <alignment horizontal="center" vertical="center" wrapText="1"/>
    </xf>
    <xf numFmtId="0" fontId="14" fillId="11" borderId="30" xfId="0" applyFont="1" applyFill="1" applyBorder="1" applyAlignment="1" applyProtection="1">
      <alignment horizontal="center" vertical="center" wrapText="1"/>
    </xf>
    <xf numFmtId="0" fontId="14" fillId="11" borderId="27"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0" fontId="14" fillId="3" borderId="28"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14" fillId="0" borderId="4" xfId="0" applyFont="1" applyFill="1" applyBorder="1" applyAlignment="1" applyProtection="1">
      <alignment horizontal="center" wrapText="1"/>
    </xf>
    <xf numFmtId="0" fontId="14" fillId="3" borderId="8" xfId="0" applyFont="1" applyFill="1" applyBorder="1" applyAlignment="1" applyProtection="1">
      <alignment horizontal="left" vertical="center" wrapText="1"/>
    </xf>
    <xf numFmtId="0" fontId="14" fillId="3" borderId="9" xfId="0" applyFont="1" applyFill="1" applyBorder="1" applyAlignment="1" applyProtection="1">
      <alignment horizontal="left" vertical="center" wrapText="1"/>
    </xf>
    <xf numFmtId="0" fontId="22"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4" fillId="3" borderId="19" xfId="0"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165" fontId="19" fillId="0" borderId="0" xfId="0" applyNumberFormat="1" applyFont="1" applyFill="1" applyBorder="1" applyAlignment="1">
      <alignment horizontal="center" vertical="center"/>
    </xf>
    <xf numFmtId="165" fontId="19" fillId="0" borderId="3" xfId="0" applyNumberFormat="1" applyFont="1" applyFill="1" applyBorder="1" applyAlignment="1">
      <alignment horizontal="center"/>
    </xf>
    <xf numFmtId="165" fontId="19" fillId="0" borderId="0" xfId="0" applyNumberFormat="1" applyFont="1" applyFill="1" applyBorder="1" applyAlignment="1">
      <alignment horizontal="center"/>
    </xf>
    <xf numFmtId="0" fontId="21" fillId="0" borderId="0" xfId="0" applyFont="1" applyFill="1" applyBorder="1" applyAlignment="1">
      <alignment horizontal="left" wrapText="1"/>
    </xf>
    <xf numFmtId="0" fontId="14" fillId="3" borderId="19"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1" fillId="0" borderId="0"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14" fillId="3" borderId="8"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 xfId="0" applyFont="1" applyFill="1" applyBorder="1" applyAlignment="1" applyProtection="1">
      <alignment horizontal="left" vertical="center" wrapText="1"/>
    </xf>
    <xf numFmtId="0" fontId="14" fillId="3" borderId="8"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9" xfId="0" applyFont="1" applyFill="1" applyBorder="1" applyAlignment="1" applyProtection="1">
      <alignment horizontal="left" vertical="center" wrapText="1"/>
    </xf>
    <xf numFmtId="0" fontId="14" fillId="3" borderId="28" xfId="0" applyFont="1" applyFill="1" applyBorder="1" applyAlignment="1" applyProtection="1">
      <alignment horizontal="left" vertical="center" wrapText="1"/>
    </xf>
    <xf numFmtId="0" fontId="14" fillId="3" borderId="7" xfId="0" applyFont="1" applyFill="1" applyBorder="1" applyAlignment="1" applyProtection="1">
      <alignment horizontal="left" vertical="center" wrapText="1"/>
    </xf>
    <xf numFmtId="0" fontId="14" fillId="5" borderId="10" xfId="0" applyFont="1" applyFill="1" applyBorder="1" applyAlignment="1" applyProtection="1">
      <alignment horizontal="center" vertical="center" wrapText="1"/>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0" fillId="3" borderId="8" xfId="0" applyFill="1" applyBorder="1" applyAlignment="1">
      <alignment horizontal="right" vertical="center"/>
    </xf>
    <xf numFmtId="0" fontId="0" fillId="3" borderId="31" xfId="0" applyFill="1" applyBorder="1" applyAlignment="1">
      <alignment horizontal="right" vertical="center"/>
    </xf>
    <xf numFmtId="0" fontId="0" fillId="3" borderId="9" xfId="0" applyFill="1" applyBorder="1" applyAlignment="1">
      <alignment horizontal="right" vertical="center"/>
    </xf>
    <xf numFmtId="0" fontId="14" fillId="3" borderId="1" xfId="0" applyFont="1" applyFill="1" applyBorder="1" applyAlignment="1">
      <alignment horizontal="left" vertical="center"/>
    </xf>
  </cellXfs>
  <cellStyles count="3">
    <cellStyle name="Comma" xfId="1" builtinId="3"/>
    <cellStyle name="Normal" xfId="0" builtinId="0"/>
    <cellStyle name="Percent" xfId="2"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BM82"/>
  <sheetViews>
    <sheetView workbookViewId="0"/>
  </sheetViews>
  <sheetFormatPr defaultRowHeight="15"/>
  <sheetData>
    <row r="1" spans="1:65" s="4" customFormat="1" ht="26.25">
      <c r="A1" s="3" t="s">
        <v>87</v>
      </c>
      <c r="B1" s="3"/>
      <c r="M1" s="112" t="s">
        <v>130</v>
      </c>
      <c r="N1" s="112"/>
      <c r="O1" s="112"/>
      <c r="P1" s="112" t="s">
        <v>131</v>
      </c>
      <c r="Q1" s="112"/>
      <c r="R1" s="112"/>
      <c r="S1" s="112"/>
    </row>
    <row r="2" spans="1:65" s="106" customFormat="1" ht="8.1" customHeight="1">
      <c r="BC2" s="43"/>
      <c r="BD2" s="43"/>
      <c r="BE2" s="43"/>
      <c r="BF2" s="43"/>
      <c r="BG2" s="43"/>
      <c r="BH2" s="43"/>
      <c r="BI2" s="43"/>
      <c r="BJ2" s="43"/>
      <c r="BK2" s="43"/>
      <c r="BL2" s="43"/>
      <c r="BM2" s="43"/>
    </row>
    <row r="3" spans="1:65" s="106" customFormat="1" ht="30" customHeight="1">
      <c r="A3" s="191" t="s">
        <v>88</v>
      </c>
      <c r="B3" s="191"/>
      <c r="C3" s="191"/>
      <c r="D3" s="191"/>
      <c r="E3" s="191"/>
      <c r="F3" s="191"/>
      <c r="G3" s="191"/>
      <c r="H3" s="191"/>
      <c r="I3" s="191"/>
      <c r="J3" s="191"/>
      <c r="K3" s="191"/>
      <c r="BC3" s="43"/>
      <c r="BD3" s="43"/>
      <c r="BE3" s="43"/>
      <c r="BF3" s="43"/>
      <c r="BG3" s="43"/>
      <c r="BH3" s="43"/>
      <c r="BI3" s="43"/>
      <c r="BJ3" s="43"/>
      <c r="BK3" s="43"/>
      <c r="BL3" s="43"/>
      <c r="BM3" s="43"/>
    </row>
    <row r="4" spans="1:65" s="106" customFormat="1" ht="8.1" customHeight="1">
      <c r="BC4" s="43"/>
      <c r="BD4" s="43"/>
      <c r="BE4" s="43"/>
      <c r="BF4" s="43"/>
      <c r="BG4" s="43"/>
      <c r="BH4" s="43"/>
      <c r="BI4" s="43"/>
      <c r="BJ4" s="43"/>
      <c r="BK4" s="43"/>
      <c r="BL4" s="43"/>
      <c r="BM4" s="43"/>
    </row>
    <row r="5" spans="1:65" s="106" customFormat="1" ht="30" customHeight="1">
      <c r="A5" s="191" t="s">
        <v>76</v>
      </c>
      <c r="B5" s="191"/>
      <c r="C5" s="191"/>
      <c r="D5" s="191"/>
      <c r="E5" s="191"/>
      <c r="F5" s="191"/>
      <c r="G5" s="191"/>
      <c r="H5" s="191"/>
      <c r="I5" s="191"/>
      <c r="J5" s="191"/>
      <c r="K5" s="191"/>
      <c r="BC5" s="43"/>
      <c r="BD5" s="43"/>
      <c r="BE5" s="43"/>
      <c r="BF5" s="43"/>
      <c r="BG5" s="43"/>
      <c r="BH5" s="43"/>
      <c r="BI5" s="43"/>
      <c r="BJ5" s="43"/>
      <c r="BK5" s="43"/>
      <c r="BL5" s="43"/>
      <c r="BM5" s="43"/>
    </row>
    <row r="6" spans="1:65" s="106" customFormat="1" ht="8.1" customHeight="1">
      <c r="BC6" s="43"/>
      <c r="BD6" s="43"/>
      <c r="BE6" s="43"/>
      <c r="BF6" s="43"/>
      <c r="BG6" s="43"/>
      <c r="BH6" s="43"/>
      <c r="BI6" s="43"/>
      <c r="BJ6" s="43"/>
      <c r="BK6" s="43"/>
      <c r="BL6" s="43"/>
      <c r="BM6" s="43"/>
    </row>
    <row r="7" spans="1:65" s="108" customFormat="1">
      <c r="A7" s="107" t="s">
        <v>72</v>
      </c>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43"/>
      <c r="BD7" s="43"/>
      <c r="BE7" s="43"/>
      <c r="BF7" s="43"/>
      <c r="BG7" s="43"/>
      <c r="BH7" s="43"/>
      <c r="BI7" s="43"/>
      <c r="BJ7" s="43"/>
      <c r="BK7" s="43"/>
      <c r="BL7" s="43"/>
      <c r="BM7" s="43"/>
    </row>
    <row r="8" spans="1:65" s="106" customFormat="1" ht="8.1" customHeight="1">
      <c r="BC8" s="43"/>
      <c r="BD8" s="43"/>
      <c r="BE8" s="43"/>
      <c r="BF8" s="43"/>
      <c r="BG8" s="43"/>
      <c r="BH8" s="43"/>
      <c r="BI8" s="43"/>
      <c r="BJ8" s="43"/>
      <c r="BK8" s="43"/>
      <c r="BL8" s="43"/>
      <c r="BM8" s="43"/>
    </row>
    <row r="9" spans="1:65" s="106" customFormat="1">
      <c r="A9" s="106" t="s">
        <v>77</v>
      </c>
      <c r="BC9" s="43"/>
      <c r="BD9" s="43"/>
      <c r="BE9" s="43"/>
      <c r="BF9" s="43"/>
      <c r="BG9" s="43"/>
      <c r="BH9" s="43"/>
      <c r="BI9" s="43"/>
      <c r="BJ9" s="43"/>
      <c r="BK9" s="43"/>
      <c r="BL9" s="43"/>
      <c r="BM9" s="43"/>
    </row>
    <row r="10" spans="1:65" s="106" customFormat="1" ht="8.1" customHeight="1">
      <c r="BC10" s="43"/>
      <c r="BD10" s="43"/>
      <c r="BE10" s="43"/>
      <c r="BF10" s="43"/>
      <c r="BG10" s="43"/>
      <c r="BH10" s="43"/>
      <c r="BI10" s="43"/>
      <c r="BJ10" s="43"/>
      <c r="BK10" s="43"/>
      <c r="BL10" s="43"/>
      <c r="BM10" s="43"/>
    </row>
    <row r="11" spans="1:65" s="108" customFormat="1">
      <c r="A11" s="107" t="s">
        <v>71</v>
      </c>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43"/>
      <c r="BD11" s="43"/>
      <c r="BE11" s="43"/>
      <c r="BF11" s="43"/>
      <c r="BG11" s="43"/>
      <c r="BH11" s="43"/>
      <c r="BI11" s="43"/>
      <c r="BJ11" s="43"/>
      <c r="BK11" s="43"/>
      <c r="BL11" s="43"/>
      <c r="BM11" s="43"/>
    </row>
    <row r="12" spans="1:65" s="106" customFormat="1" ht="8.1" customHeight="1">
      <c r="BC12" s="43"/>
      <c r="BD12" s="43"/>
      <c r="BE12" s="43"/>
      <c r="BF12" s="43"/>
      <c r="BG12" s="43"/>
      <c r="BH12" s="43"/>
      <c r="BI12" s="43"/>
      <c r="BJ12" s="43"/>
      <c r="BK12" s="43"/>
      <c r="BL12" s="43"/>
      <c r="BM12" s="43"/>
    </row>
    <row r="13" spans="1:65" s="106" customFormat="1" ht="45" customHeight="1">
      <c r="A13" s="191" t="s">
        <v>80</v>
      </c>
      <c r="B13" s="191"/>
      <c r="C13" s="191"/>
      <c r="D13" s="191"/>
      <c r="E13" s="191"/>
      <c r="F13" s="191"/>
      <c r="G13" s="191"/>
      <c r="H13" s="191"/>
      <c r="I13" s="191"/>
      <c r="J13" s="191"/>
      <c r="K13" s="191"/>
      <c r="BC13" s="43"/>
      <c r="BD13" s="43"/>
      <c r="BE13" s="43"/>
      <c r="BF13" s="43"/>
      <c r="BG13" s="43"/>
      <c r="BH13" s="43"/>
      <c r="BI13" s="43"/>
      <c r="BJ13" s="43"/>
      <c r="BK13" s="43"/>
      <c r="BL13" s="43"/>
      <c r="BM13" s="43"/>
    </row>
    <row r="14" spans="1:65" s="106" customFormat="1" ht="8.1" customHeight="1">
      <c r="BC14" s="43"/>
      <c r="BD14" s="43"/>
      <c r="BE14" s="43"/>
      <c r="BF14" s="43"/>
      <c r="BG14" s="43"/>
      <c r="BH14" s="43"/>
      <c r="BI14" s="43"/>
      <c r="BJ14" s="43"/>
      <c r="BK14" s="43"/>
      <c r="BL14" s="43"/>
      <c r="BM14" s="43"/>
    </row>
    <row r="15" spans="1:65" s="108" customFormat="1">
      <c r="A15" s="107" t="s">
        <v>73</v>
      </c>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43"/>
      <c r="BD15" s="43"/>
      <c r="BE15" s="43"/>
      <c r="BF15" s="43"/>
      <c r="BG15" s="43"/>
      <c r="BH15" s="43"/>
      <c r="BI15" s="43"/>
      <c r="BJ15" s="43"/>
      <c r="BK15" s="43"/>
      <c r="BL15" s="43"/>
      <c r="BM15" s="43"/>
    </row>
    <row r="16" spans="1:65" s="106" customFormat="1" ht="8.1" customHeight="1">
      <c r="BC16" s="43"/>
      <c r="BD16" s="43"/>
      <c r="BE16" s="43"/>
      <c r="BF16" s="43"/>
      <c r="BG16" s="43"/>
      <c r="BH16" s="43"/>
      <c r="BI16" s="43"/>
      <c r="BJ16" s="43"/>
      <c r="BK16" s="43"/>
      <c r="BL16" s="43"/>
      <c r="BM16" s="43"/>
    </row>
    <row r="17" spans="1:65" s="106" customFormat="1">
      <c r="A17" s="106" t="s">
        <v>74</v>
      </c>
      <c r="BC17" s="43"/>
      <c r="BD17" s="43"/>
      <c r="BE17" s="43"/>
      <c r="BF17" s="43"/>
      <c r="BG17" s="43"/>
      <c r="BH17" s="43"/>
      <c r="BI17" s="43"/>
      <c r="BJ17" s="43"/>
      <c r="BK17" s="43"/>
      <c r="BL17" s="43"/>
      <c r="BM17" s="43"/>
    </row>
    <row r="18" spans="1:65" s="106" customFormat="1" ht="8.1" customHeight="1">
      <c r="BC18" s="43"/>
      <c r="BD18" s="43"/>
      <c r="BE18" s="43"/>
      <c r="BF18" s="43"/>
      <c r="BG18" s="43"/>
      <c r="BH18" s="43"/>
      <c r="BI18" s="43"/>
      <c r="BJ18" s="43"/>
      <c r="BK18" s="43"/>
      <c r="BL18" s="43"/>
      <c r="BM18" s="43"/>
    </row>
    <row r="19" spans="1:65" s="106" customFormat="1" ht="30" customHeight="1">
      <c r="A19" s="191" t="s">
        <v>89</v>
      </c>
      <c r="B19" s="191"/>
      <c r="C19" s="191"/>
      <c r="D19" s="191"/>
      <c r="E19" s="191"/>
      <c r="F19" s="191"/>
      <c r="G19" s="191"/>
      <c r="H19" s="191"/>
      <c r="I19" s="191"/>
      <c r="J19" s="191"/>
      <c r="K19" s="191"/>
      <c r="BC19" s="43"/>
      <c r="BD19" s="43"/>
      <c r="BE19" s="43"/>
      <c r="BF19" s="43"/>
      <c r="BG19" s="43"/>
      <c r="BH19" s="43"/>
      <c r="BI19" s="43"/>
      <c r="BJ19" s="43"/>
      <c r="BK19" s="43"/>
      <c r="BL19" s="43"/>
      <c r="BM19" s="43"/>
    </row>
    <row r="20" spans="1:65" s="106" customFormat="1" ht="8.1" customHeight="1">
      <c r="BC20" s="43"/>
      <c r="BD20" s="43"/>
      <c r="BE20" s="43"/>
      <c r="BF20" s="43"/>
      <c r="BG20" s="43"/>
      <c r="BH20" s="43"/>
      <c r="BI20" s="43"/>
      <c r="BJ20" s="43"/>
      <c r="BK20" s="43"/>
      <c r="BL20" s="43"/>
      <c r="BM20" s="43"/>
    </row>
    <row r="21" spans="1:65" s="106" customFormat="1" ht="30" customHeight="1">
      <c r="A21" s="191" t="s">
        <v>81</v>
      </c>
      <c r="B21" s="191"/>
      <c r="C21" s="191"/>
      <c r="D21" s="191"/>
      <c r="E21" s="191"/>
      <c r="F21" s="191"/>
      <c r="G21" s="191"/>
      <c r="H21" s="191"/>
      <c r="I21" s="191"/>
      <c r="J21" s="191"/>
      <c r="K21" s="191"/>
      <c r="BC21" s="43"/>
      <c r="BD21" s="43"/>
      <c r="BE21" s="43"/>
      <c r="BF21" s="43"/>
      <c r="BG21" s="43"/>
      <c r="BH21" s="43"/>
      <c r="BI21" s="43"/>
      <c r="BJ21" s="43"/>
      <c r="BK21" s="43"/>
      <c r="BL21" s="43"/>
      <c r="BM21" s="43"/>
    </row>
    <row r="22" spans="1:65" s="106" customFormat="1" ht="8.1" customHeight="1">
      <c r="BC22" s="43"/>
      <c r="BD22" s="43"/>
      <c r="BE22" s="43"/>
      <c r="BF22" s="43"/>
      <c r="BG22" s="43"/>
      <c r="BH22" s="43"/>
      <c r="BI22" s="43"/>
      <c r="BJ22" s="43"/>
      <c r="BK22" s="43"/>
      <c r="BL22" s="43"/>
      <c r="BM22" s="43"/>
    </row>
    <row r="23" spans="1:65" s="106" customFormat="1" ht="45" customHeight="1">
      <c r="A23" s="191" t="s">
        <v>78</v>
      </c>
      <c r="B23" s="191"/>
      <c r="C23" s="191"/>
      <c r="D23" s="191"/>
      <c r="E23" s="191"/>
      <c r="F23" s="191"/>
      <c r="G23" s="191"/>
      <c r="H23" s="191"/>
      <c r="I23" s="191"/>
      <c r="J23" s="191"/>
      <c r="K23" s="191"/>
      <c r="BC23" s="43"/>
      <c r="BD23" s="43"/>
      <c r="BE23" s="43"/>
      <c r="BF23" s="43"/>
      <c r="BG23" s="43"/>
      <c r="BH23" s="43"/>
      <c r="BI23" s="43"/>
      <c r="BJ23" s="43"/>
      <c r="BK23" s="43"/>
      <c r="BL23" s="43"/>
      <c r="BM23" s="43"/>
    </row>
    <row r="24" spans="1:65" s="106" customFormat="1" ht="8.1" customHeight="1">
      <c r="A24" s="109"/>
      <c r="B24" s="109"/>
      <c r="C24" s="109"/>
      <c r="D24" s="109"/>
      <c r="E24" s="109"/>
      <c r="F24" s="109"/>
      <c r="G24" s="109"/>
      <c r="H24" s="109"/>
      <c r="I24" s="109"/>
      <c r="J24" s="109"/>
      <c r="K24" s="109"/>
      <c r="BC24" s="43"/>
      <c r="BD24" s="43"/>
      <c r="BE24" s="43"/>
      <c r="BF24" s="43"/>
      <c r="BG24" s="43"/>
      <c r="BH24" s="43"/>
      <c r="BI24" s="43"/>
      <c r="BJ24" s="43"/>
      <c r="BK24" s="43"/>
      <c r="BL24" s="43"/>
      <c r="BM24" s="43"/>
    </row>
    <row r="25" spans="1:65" s="106" customFormat="1">
      <c r="A25" s="107" t="s">
        <v>82</v>
      </c>
      <c r="B25" s="108"/>
      <c r="C25" s="108"/>
      <c r="D25" s="108"/>
      <c r="E25" s="108"/>
      <c r="F25" s="108"/>
      <c r="G25" s="108"/>
      <c r="H25" s="108"/>
      <c r="I25" s="108"/>
      <c r="J25" s="108"/>
      <c r="K25" s="108"/>
      <c r="BC25" s="43"/>
      <c r="BD25" s="43"/>
      <c r="BE25" s="43"/>
      <c r="BF25" s="43"/>
      <c r="BG25" s="43"/>
      <c r="BH25" s="43"/>
      <c r="BI25" s="43"/>
      <c r="BJ25" s="43"/>
      <c r="BK25" s="43"/>
      <c r="BL25" s="43"/>
      <c r="BM25" s="43"/>
    </row>
    <row r="26" spans="1:65" s="106" customFormat="1" ht="8.1" customHeight="1">
      <c r="A26" s="110"/>
    </row>
    <row r="27" spans="1:65" s="106" customFormat="1">
      <c r="A27" s="111" t="s">
        <v>83</v>
      </c>
    </row>
    <row r="28" spans="1:65" s="106" customFormat="1">
      <c r="A28" s="111" t="s">
        <v>121</v>
      </c>
    </row>
    <row r="29" spans="1:65" s="106" customFormat="1" ht="8.1" customHeight="1">
      <c r="BC29" s="43"/>
      <c r="BD29" s="43"/>
      <c r="BE29" s="43"/>
      <c r="BF29" s="43"/>
      <c r="BG29" s="43"/>
      <c r="BH29" s="43"/>
      <c r="BI29" s="43"/>
      <c r="BJ29" s="43"/>
      <c r="BK29" s="43"/>
      <c r="BL29" s="43"/>
      <c r="BM29" s="43"/>
    </row>
    <row r="30" spans="1:65" s="108" customFormat="1">
      <c r="A30" s="107" t="s">
        <v>84</v>
      </c>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43"/>
      <c r="BD30" s="43"/>
      <c r="BE30" s="43"/>
      <c r="BF30" s="43"/>
      <c r="BG30" s="43"/>
      <c r="BH30" s="43"/>
      <c r="BI30" s="43"/>
      <c r="BJ30" s="43"/>
      <c r="BK30" s="43"/>
      <c r="BL30" s="43"/>
      <c r="BM30" s="43"/>
    </row>
    <row r="31" spans="1:65" s="106" customFormat="1" ht="8.1" customHeight="1">
      <c r="BC31" s="43"/>
      <c r="BD31" s="43"/>
      <c r="BE31" s="43"/>
      <c r="BF31" s="43"/>
      <c r="BG31" s="43"/>
      <c r="BH31" s="43"/>
      <c r="BI31" s="43"/>
      <c r="BJ31" s="43"/>
      <c r="BK31" s="43"/>
      <c r="BL31" s="43"/>
      <c r="BM31" s="43"/>
    </row>
    <row r="32" spans="1:65" s="106" customFormat="1" ht="30" customHeight="1">
      <c r="A32" s="191" t="s">
        <v>85</v>
      </c>
      <c r="B32" s="191"/>
      <c r="C32" s="191"/>
      <c r="D32" s="191"/>
      <c r="E32" s="191"/>
      <c r="F32" s="191"/>
      <c r="G32" s="191"/>
      <c r="H32" s="191"/>
      <c r="I32" s="191"/>
      <c r="J32" s="191"/>
      <c r="K32" s="191"/>
      <c r="BC32" s="43"/>
      <c r="BD32" s="43"/>
      <c r="BE32" s="43"/>
      <c r="BF32" s="43"/>
      <c r="BG32" s="43"/>
      <c r="BH32" s="43"/>
      <c r="BI32" s="43"/>
      <c r="BJ32" s="43"/>
      <c r="BK32" s="43"/>
      <c r="BL32" s="43"/>
      <c r="BM32" s="43"/>
    </row>
    <row r="33" spans="1:65" s="106" customFormat="1" ht="8.1" customHeight="1">
      <c r="BC33" s="43"/>
      <c r="BD33" s="43"/>
      <c r="BE33" s="43"/>
      <c r="BF33" s="43"/>
      <c r="BG33" s="43"/>
      <c r="BH33" s="43"/>
      <c r="BI33" s="43"/>
      <c r="BJ33" s="43"/>
      <c r="BK33" s="43"/>
      <c r="BL33" s="43"/>
      <c r="BM33" s="43"/>
    </row>
    <row r="34" spans="1:65" s="106" customFormat="1" ht="30" customHeight="1">
      <c r="A34" s="191" t="s">
        <v>115</v>
      </c>
      <c r="B34" s="191"/>
      <c r="C34" s="191"/>
      <c r="D34" s="191"/>
      <c r="E34" s="191"/>
      <c r="F34" s="191"/>
      <c r="G34" s="191"/>
      <c r="H34" s="191"/>
      <c r="I34" s="191"/>
      <c r="J34" s="191"/>
      <c r="K34" s="191"/>
      <c r="BC34" s="43"/>
      <c r="BD34" s="43"/>
      <c r="BE34" s="43"/>
      <c r="BF34" s="43"/>
      <c r="BG34" s="43"/>
      <c r="BH34" s="43"/>
      <c r="BI34" s="43"/>
      <c r="BJ34" s="43"/>
      <c r="BK34" s="43"/>
      <c r="BL34" s="43"/>
      <c r="BM34" s="43"/>
    </row>
    <row r="35" spans="1:65" s="106" customFormat="1" ht="8.1" customHeight="1">
      <c r="A35" s="109"/>
      <c r="B35" s="109"/>
      <c r="C35" s="109"/>
      <c r="D35" s="109"/>
      <c r="E35" s="109"/>
      <c r="F35" s="109"/>
      <c r="G35" s="109"/>
      <c r="H35" s="109"/>
      <c r="I35" s="109"/>
      <c r="J35" s="109"/>
      <c r="K35" s="109"/>
      <c r="BC35" s="43"/>
      <c r="BD35" s="43"/>
      <c r="BE35" s="43"/>
      <c r="BF35" s="43"/>
      <c r="BG35" s="43"/>
      <c r="BH35" s="43"/>
      <c r="BI35" s="43"/>
      <c r="BJ35" s="43"/>
      <c r="BK35" s="43"/>
      <c r="BL35" s="43"/>
      <c r="BM35" s="43"/>
    </row>
    <row r="36" spans="1:65" s="106" customFormat="1" ht="45" customHeight="1">
      <c r="A36" s="191" t="s">
        <v>86</v>
      </c>
      <c r="B36" s="191"/>
      <c r="C36" s="191"/>
      <c r="D36" s="191"/>
      <c r="E36" s="191"/>
      <c r="F36" s="191"/>
      <c r="G36" s="191"/>
      <c r="H36" s="191"/>
      <c r="I36" s="191"/>
      <c r="J36" s="191"/>
      <c r="K36" s="191"/>
      <c r="BC36" s="43"/>
      <c r="BD36" s="43"/>
      <c r="BE36" s="43"/>
      <c r="BF36" s="43"/>
      <c r="BG36" s="43"/>
      <c r="BH36" s="43"/>
      <c r="BI36" s="43"/>
      <c r="BJ36" s="43"/>
      <c r="BK36" s="43"/>
      <c r="BL36" s="43"/>
      <c r="BM36" s="43"/>
    </row>
    <row r="37" spans="1:65" s="106" customFormat="1" ht="8.1" customHeight="1">
      <c r="A37" s="109"/>
      <c r="B37" s="109"/>
      <c r="C37" s="109"/>
      <c r="D37" s="109"/>
      <c r="E37" s="109"/>
      <c r="F37" s="109"/>
      <c r="G37" s="109"/>
      <c r="H37" s="109"/>
      <c r="I37" s="109"/>
      <c r="J37" s="109"/>
      <c r="K37" s="109"/>
      <c r="BC37" s="43"/>
      <c r="BD37" s="43"/>
      <c r="BE37" s="43"/>
      <c r="BF37" s="43"/>
      <c r="BG37" s="43"/>
      <c r="BH37" s="43"/>
      <c r="BI37" s="43"/>
      <c r="BJ37" s="43"/>
      <c r="BK37" s="43"/>
      <c r="BL37" s="43"/>
      <c r="BM37" s="43"/>
    </row>
    <row r="38" spans="1:65" s="106" customFormat="1" ht="30" customHeight="1">
      <c r="A38" s="191" t="s">
        <v>90</v>
      </c>
      <c r="B38" s="191"/>
      <c r="C38" s="191"/>
      <c r="D38" s="191"/>
      <c r="E38" s="191"/>
      <c r="F38" s="191"/>
      <c r="G38" s="191"/>
      <c r="H38" s="191"/>
      <c r="I38" s="191"/>
      <c r="J38" s="191"/>
      <c r="K38" s="191"/>
      <c r="BC38" s="43"/>
      <c r="BD38" s="43"/>
      <c r="BE38" s="43"/>
      <c r="BF38" s="43"/>
      <c r="BG38" s="43"/>
      <c r="BH38" s="43"/>
      <c r="BI38" s="43"/>
      <c r="BJ38" s="43"/>
      <c r="BK38" s="43"/>
      <c r="BL38" s="43"/>
      <c r="BM38" s="43"/>
    </row>
    <row r="39" spans="1:65" s="106" customFormat="1" ht="8.1" customHeight="1">
      <c r="BC39" s="43"/>
      <c r="BD39" s="43"/>
      <c r="BE39" s="43"/>
      <c r="BF39" s="43"/>
      <c r="BG39" s="43"/>
      <c r="BH39" s="43"/>
      <c r="BI39" s="43"/>
      <c r="BJ39" s="43"/>
      <c r="BK39" s="43"/>
      <c r="BL39" s="43"/>
      <c r="BM39" s="43"/>
    </row>
    <row r="40" spans="1:65" s="108" customFormat="1">
      <c r="A40" s="107" t="s">
        <v>75</v>
      </c>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43"/>
      <c r="BD40" s="43"/>
      <c r="BE40" s="43"/>
      <c r="BF40" s="43"/>
      <c r="BG40" s="43"/>
      <c r="BH40" s="43"/>
      <c r="BI40" s="43"/>
      <c r="BJ40" s="43"/>
      <c r="BK40" s="43"/>
      <c r="BL40" s="43"/>
      <c r="BM40" s="43"/>
    </row>
    <row r="41" spans="1:65" s="106" customFormat="1" ht="8.1" customHeight="1">
      <c r="BC41" s="43"/>
      <c r="BD41" s="43"/>
      <c r="BE41" s="43"/>
      <c r="BF41" s="43"/>
      <c r="BG41" s="43"/>
      <c r="BH41" s="43"/>
      <c r="BI41" s="43"/>
      <c r="BJ41" s="43"/>
      <c r="BK41" s="43"/>
      <c r="BL41" s="43"/>
      <c r="BM41" s="43"/>
    </row>
    <row r="42" spans="1:65" s="106" customFormat="1" ht="45" customHeight="1">
      <c r="A42" s="191" t="s">
        <v>79</v>
      </c>
      <c r="B42" s="191"/>
      <c r="C42" s="191"/>
      <c r="D42" s="191"/>
      <c r="E42" s="191"/>
      <c r="F42" s="191"/>
      <c r="G42" s="191"/>
      <c r="H42" s="191"/>
      <c r="I42" s="191"/>
      <c r="J42" s="191"/>
      <c r="K42" s="191"/>
      <c r="BC42" s="43"/>
      <c r="BD42" s="43"/>
      <c r="BE42" s="43"/>
      <c r="BF42" s="43"/>
      <c r="BG42" s="43"/>
      <c r="BH42" s="43"/>
      <c r="BI42" s="43"/>
      <c r="BJ42" s="43"/>
      <c r="BK42" s="43"/>
      <c r="BL42" s="43"/>
      <c r="BM42" s="43"/>
    </row>
    <row r="43" spans="1:65" s="106" customFormat="1"/>
    <row r="44" spans="1:65" s="106" customFormat="1"/>
    <row r="45" spans="1:65" s="106" customFormat="1"/>
    <row r="46" spans="1:65" s="106" customFormat="1"/>
    <row r="47" spans="1:65" s="106" customFormat="1"/>
    <row r="48" spans="1:65" s="106" customFormat="1"/>
    <row r="49" s="106" customFormat="1"/>
    <row r="50" s="106" customFormat="1"/>
    <row r="51" s="106" customFormat="1"/>
    <row r="52" s="106" customFormat="1"/>
    <row r="53" s="106" customFormat="1"/>
    <row r="54" s="106" customFormat="1"/>
    <row r="55" s="106" customFormat="1"/>
    <row r="56" s="106" customFormat="1"/>
    <row r="57" s="106" customFormat="1"/>
    <row r="58" s="106" customFormat="1"/>
    <row r="59" s="106" customFormat="1"/>
    <row r="60" s="106" customFormat="1"/>
    <row r="61" s="106" customFormat="1"/>
    <row r="62" s="106" customFormat="1"/>
    <row r="63" s="106" customFormat="1"/>
    <row r="64" s="106" customFormat="1"/>
    <row r="65" s="106" customFormat="1"/>
    <row r="66" s="106" customFormat="1"/>
    <row r="67" s="106" customFormat="1"/>
    <row r="68" s="106" customFormat="1"/>
    <row r="69" s="106" customFormat="1"/>
    <row r="70" s="106" customFormat="1"/>
    <row r="71" s="106" customFormat="1"/>
    <row r="72" s="106" customFormat="1"/>
    <row r="73" s="106" customFormat="1"/>
    <row r="74" s="106" customFormat="1"/>
    <row r="75" s="106" customFormat="1"/>
    <row r="76" s="106" customFormat="1"/>
    <row r="77" s="106" customFormat="1"/>
    <row r="78" s="106" customFormat="1"/>
    <row r="79" s="106" customFormat="1"/>
    <row r="80" s="106" customFormat="1"/>
    <row r="81" s="106" customFormat="1"/>
    <row r="82" s="106" customFormat="1"/>
  </sheetData>
  <sheetProtection password="E3DD" sheet="1"/>
  <mergeCells count="11">
    <mergeCell ref="A3:K3"/>
    <mergeCell ref="A5:K5"/>
    <mergeCell ref="A13:K13"/>
    <mergeCell ref="A19:K19"/>
    <mergeCell ref="A21:K21"/>
    <mergeCell ref="A23:K23"/>
    <mergeCell ref="A32:K32"/>
    <mergeCell ref="A34:K34"/>
    <mergeCell ref="A36:K36"/>
    <mergeCell ref="A38:K38"/>
    <mergeCell ref="A42:K42"/>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A133"/>
  <sheetViews>
    <sheetView showGridLines="0" tabSelected="1" zoomScale="70" zoomScaleNormal="70" workbookViewId="0"/>
  </sheetViews>
  <sheetFormatPr defaultRowHeight="15"/>
  <cols>
    <col min="1" max="1" width="2.7109375" style="11" customWidth="1"/>
    <col min="2" max="2" width="17.7109375" style="11" customWidth="1"/>
    <col min="3" max="3" width="43.7109375" style="11" customWidth="1"/>
    <col min="4" max="4" width="21.85546875" style="11" customWidth="1"/>
    <col min="5" max="17" width="20.7109375" style="11" customWidth="1"/>
    <col min="18" max="27" width="15.7109375" style="11" customWidth="1"/>
    <col min="28" max="16384" width="9.140625" style="11"/>
  </cols>
  <sheetData>
    <row r="1" spans="1:27" s="4" customFormat="1" ht="26.25">
      <c r="A1" s="3" t="s">
        <v>94</v>
      </c>
      <c r="B1" s="3"/>
    </row>
    <row r="2" spans="1:27" s="6" customFormat="1" ht="15.75">
      <c r="A2" s="5"/>
      <c r="B2" s="205"/>
      <c r="C2" s="205"/>
      <c r="D2" s="205"/>
    </row>
    <row r="3" spans="1:27" s="6" customFormat="1" ht="26.25">
      <c r="A3" s="7"/>
      <c r="B3" s="70" t="s">
        <v>72</v>
      </c>
      <c r="D3" s="8"/>
      <c r="F3" s="9"/>
    </row>
    <row r="4" spans="1:27" s="6" customFormat="1" ht="7.5" customHeight="1" thickBot="1">
      <c r="A4" s="7"/>
      <c r="B4" s="7"/>
    </row>
    <row r="5" spans="1:27" s="6" customFormat="1" ht="27" thickBot="1">
      <c r="A5" s="7"/>
      <c r="B5" s="114" t="s">
        <v>15</v>
      </c>
      <c r="C5" s="146"/>
      <c r="E5" s="193" t="s">
        <v>18</v>
      </c>
      <c r="F5" s="193"/>
      <c r="G5" s="193"/>
    </row>
    <row r="6" spans="1:27" s="6" customFormat="1" ht="27" thickBot="1">
      <c r="A6" s="7"/>
      <c r="B6" s="66" t="s">
        <v>14</v>
      </c>
      <c r="C6" s="146"/>
      <c r="E6" s="194" t="s">
        <v>0</v>
      </c>
      <c r="F6" s="194"/>
      <c r="G6" s="194"/>
    </row>
    <row r="7" spans="1:27" s="6" customFormat="1" ht="27" thickBot="1">
      <c r="A7" s="7"/>
      <c r="B7" s="36" t="s">
        <v>59</v>
      </c>
      <c r="C7" s="146"/>
      <c r="E7" s="141" t="s">
        <v>1</v>
      </c>
      <c r="F7" s="142" t="s">
        <v>57</v>
      </c>
      <c r="G7" s="143" t="s">
        <v>58</v>
      </c>
    </row>
    <row r="8" spans="1:27" s="6" customFormat="1" ht="27" thickBot="1">
      <c r="A8" s="7"/>
      <c r="B8" s="36" t="s">
        <v>113</v>
      </c>
      <c r="C8" s="146"/>
      <c r="E8" s="226" t="s">
        <v>123</v>
      </c>
      <c r="F8" s="227"/>
      <c r="G8" s="228"/>
    </row>
    <row r="9" spans="1:27" s="6" customFormat="1" ht="27" customHeight="1" thickBot="1">
      <c r="A9" s="7"/>
      <c r="B9" s="36" t="s">
        <v>60</v>
      </c>
      <c r="C9" s="154"/>
      <c r="E9" s="195" t="s">
        <v>30</v>
      </c>
      <c r="F9" s="196"/>
      <c r="G9" s="197"/>
    </row>
    <row r="10" spans="1:27" s="6" customFormat="1" ht="27" thickBot="1">
      <c r="A10" s="7"/>
      <c r="B10" s="139" t="s">
        <v>96</v>
      </c>
      <c r="C10" s="147"/>
    </row>
    <row r="11" spans="1:27" s="6" customFormat="1" ht="27" thickBot="1">
      <c r="A11" s="7"/>
      <c r="B11" s="36" t="s">
        <v>114</v>
      </c>
      <c r="C11" s="148"/>
      <c r="E11" s="140"/>
      <c r="F11" s="140"/>
    </row>
    <row r="12" spans="1:27" s="6" customFormat="1" ht="14.25" customHeight="1">
      <c r="A12" s="7"/>
      <c r="B12" s="115"/>
      <c r="C12" s="116"/>
      <c r="D12" s="8"/>
      <c r="E12" s="9"/>
      <c r="F12" s="9"/>
    </row>
    <row r="13" spans="1:27" s="6" customFormat="1" ht="26.25">
      <c r="A13" s="7"/>
      <c r="B13" s="70" t="s">
        <v>71</v>
      </c>
      <c r="D13" s="8"/>
      <c r="F13" s="9"/>
    </row>
    <row r="14" spans="1:27" s="6" customFormat="1" ht="11.25" customHeight="1">
      <c r="A14" s="7"/>
      <c r="B14" s="7"/>
      <c r="D14" s="10"/>
    </row>
    <row r="15" spans="1:27">
      <c r="D15" s="12"/>
      <c r="E15" s="155" t="s">
        <v>13</v>
      </c>
      <c r="F15" s="13"/>
      <c r="G15" s="14"/>
      <c r="H15" s="14"/>
      <c r="I15" s="14"/>
      <c r="J15" s="14"/>
      <c r="K15" s="14"/>
      <c r="L15" s="14"/>
      <c r="M15" s="14"/>
      <c r="N15" s="14"/>
      <c r="O15" s="14"/>
      <c r="P15" s="14"/>
      <c r="Q15" s="14"/>
      <c r="R15" s="14"/>
      <c r="S15" s="14"/>
      <c r="T15" s="14"/>
      <c r="U15" s="14"/>
      <c r="V15" s="14"/>
      <c r="W15" s="14"/>
      <c r="X15" s="14"/>
      <c r="Y15" s="14"/>
      <c r="Z15" s="14"/>
      <c r="AA15" s="14"/>
    </row>
    <row r="16" spans="1:27">
      <c r="B16" s="206" t="s">
        <v>5</v>
      </c>
      <c r="C16" s="202" t="s">
        <v>16</v>
      </c>
      <c r="D16" s="203"/>
      <c r="E16" s="135"/>
      <c r="F16" s="15"/>
      <c r="G16" s="16"/>
      <c r="H16" s="16"/>
      <c r="I16" s="16"/>
      <c r="J16" s="16"/>
      <c r="K16" s="16"/>
      <c r="L16" s="16"/>
      <c r="M16" s="16"/>
      <c r="N16" s="16"/>
      <c r="O16" s="16"/>
      <c r="P16" s="16"/>
      <c r="Q16" s="16"/>
      <c r="R16" s="16"/>
      <c r="S16" s="16"/>
      <c r="T16" s="16"/>
      <c r="U16" s="16"/>
      <c r="V16" s="16"/>
      <c r="W16" s="16"/>
      <c r="X16" s="16"/>
      <c r="Y16" s="16"/>
      <c r="Z16" s="16"/>
      <c r="AA16" s="16"/>
    </row>
    <row r="17" spans="2:27">
      <c r="B17" s="207"/>
      <c r="C17" s="202" t="s">
        <v>3</v>
      </c>
      <c r="D17" s="203"/>
      <c r="E17" s="149"/>
      <c r="F17" s="15"/>
      <c r="G17" s="16"/>
      <c r="H17" s="16"/>
      <c r="I17" s="16"/>
      <c r="J17" s="16"/>
      <c r="K17" s="16"/>
      <c r="L17" s="16"/>
      <c r="M17" s="16"/>
      <c r="N17" s="16"/>
      <c r="O17" s="16"/>
      <c r="P17" s="16"/>
      <c r="Q17" s="16"/>
      <c r="R17" s="16"/>
      <c r="S17" s="16"/>
      <c r="T17" s="16"/>
      <c r="U17" s="16"/>
      <c r="V17" s="16"/>
      <c r="W17" s="16"/>
      <c r="X17" s="16"/>
      <c r="Y17" s="16"/>
      <c r="Z17" s="16"/>
      <c r="AA17" s="16"/>
    </row>
    <row r="18" spans="2:27">
      <c r="B18" s="207"/>
      <c r="C18" s="202" t="s">
        <v>2</v>
      </c>
      <c r="D18" s="203"/>
      <c r="E18" s="136"/>
      <c r="F18" s="15"/>
      <c r="G18" s="16"/>
      <c r="H18" s="16"/>
      <c r="I18" s="16"/>
      <c r="J18" s="16"/>
      <c r="K18" s="16"/>
      <c r="L18" s="16"/>
      <c r="M18" s="16"/>
      <c r="N18" s="16"/>
      <c r="O18" s="16"/>
      <c r="P18" s="16"/>
      <c r="Q18" s="16"/>
      <c r="R18" s="16"/>
      <c r="S18" s="16"/>
      <c r="T18" s="16"/>
      <c r="U18" s="16"/>
      <c r="V18" s="16"/>
      <c r="W18" s="16"/>
      <c r="X18" s="16"/>
      <c r="Y18" s="16"/>
      <c r="Z18" s="16"/>
      <c r="AA18" s="16"/>
    </row>
    <row r="19" spans="2:27">
      <c r="B19" s="207"/>
      <c r="C19" s="202" t="s">
        <v>4</v>
      </c>
      <c r="D19" s="203"/>
      <c r="E19" s="136"/>
      <c r="F19" s="15"/>
      <c r="G19" s="16"/>
      <c r="H19" s="16"/>
      <c r="I19" s="16"/>
      <c r="J19" s="16"/>
      <c r="K19" s="16"/>
      <c r="L19" s="16"/>
      <c r="M19" s="16"/>
      <c r="N19" s="16"/>
      <c r="O19" s="16"/>
      <c r="P19" s="16"/>
      <c r="Q19" s="16"/>
      <c r="R19" s="16"/>
      <c r="S19" s="16"/>
      <c r="T19" s="16"/>
      <c r="U19" s="16"/>
      <c r="V19" s="16"/>
      <c r="W19" s="16"/>
      <c r="X19" s="16"/>
      <c r="Y19" s="16"/>
      <c r="Z19" s="16"/>
      <c r="AA19" s="16"/>
    </row>
    <row r="20" spans="2:27">
      <c r="B20" s="207"/>
      <c r="C20" s="202" t="s">
        <v>49</v>
      </c>
      <c r="D20" s="203"/>
      <c r="E20" s="136"/>
      <c r="F20" s="15"/>
      <c r="G20" s="16"/>
      <c r="H20" s="16"/>
      <c r="I20" s="16"/>
      <c r="J20" s="16"/>
      <c r="K20" s="16"/>
      <c r="L20" s="16"/>
      <c r="M20" s="16"/>
      <c r="N20" s="16"/>
      <c r="O20" s="16"/>
      <c r="P20" s="16"/>
      <c r="Q20" s="16"/>
      <c r="R20" s="16"/>
      <c r="S20" s="16"/>
      <c r="T20" s="16"/>
      <c r="U20" s="16"/>
      <c r="V20" s="16"/>
      <c r="W20" s="16"/>
      <c r="X20" s="16"/>
      <c r="Y20" s="16"/>
      <c r="Z20" s="16"/>
      <c r="AA20" s="16"/>
    </row>
    <row r="21" spans="2:27" ht="30" customHeight="1">
      <c r="B21" s="207"/>
      <c r="C21" s="202" t="s">
        <v>17</v>
      </c>
      <c r="D21" s="203"/>
      <c r="E21" s="122" t="s">
        <v>31</v>
      </c>
      <c r="F21" s="15"/>
      <c r="G21" s="16"/>
      <c r="H21" s="16"/>
      <c r="I21" s="16"/>
      <c r="J21" s="16"/>
      <c r="K21" s="16"/>
      <c r="L21" s="16"/>
      <c r="M21" s="16"/>
      <c r="N21" s="16"/>
      <c r="O21" s="16"/>
      <c r="P21" s="16"/>
      <c r="Q21" s="16"/>
      <c r="R21" s="16"/>
      <c r="S21" s="16"/>
      <c r="T21" s="16"/>
      <c r="U21" s="16"/>
      <c r="V21" s="16"/>
      <c r="W21" s="16"/>
      <c r="X21" s="16"/>
      <c r="Y21" s="16"/>
      <c r="Z21" s="16"/>
      <c r="AA21" s="16"/>
    </row>
    <row r="22" spans="2:27" s="19" customFormat="1">
      <c r="B22" s="207"/>
      <c r="C22" s="202" t="s">
        <v>6</v>
      </c>
      <c r="D22" s="203"/>
      <c r="E22" s="137"/>
      <c r="F22" s="17"/>
      <c r="G22" s="18"/>
      <c r="H22" s="18"/>
      <c r="I22" s="18"/>
      <c r="J22" s="18"/>
      <c r="K22" s="18"/>
      <c r="L22" s="18"/>
      <c r="M22" s="18"/>
      <c r="N22" s="18"/>
      <c r="O22" s="18"/>
      <c r="P22" s="18"/>
      <c r="Q22" s="18"/>
      <c r="R22" s="18"/>
      <c r="S22" s="18"/>
      <c r="T22" s="18"/>
      <c r="U22" s="18"/>
      <c r="V22" s="18"/>
      <c r="W22" s="18"/>
      <c r="X22" s="18"/>
      <c r="Y22" s="18"/>
      <c r="Z22" s="18"/>
      <c r="AA22" s="18"/>
    </row>
    <row r="23" spans="2:27" ht="15" customHeight="1">
      <c r="B23" s="208"/>
      <c r="C23" s="202" t="str">
        <f>"Base year Carbon ("&amp;E20&amp;")"</f>
        <v>Base year Carbon ()</v>
      </c>
      <c r="D23" s="203"/>
      <c r="E23" s="156"/>
      <c r="F23" s="15"/>
      <c r="G23" s="16"/>
      <c r="H23" s="16"/>
      <c r="I23" s="16"/>
      <c r="J23" s="16"/>
      <c r="K23" s="16"/>
      <c r="L23" s="16"/>
      <c r="M23" s="16"/>
      <c r="N23" s="16"/>
      <c r="O23" s="16"/>
      <c r="P23" s="16"/>
      <c r="Q23" s="16"/>
      <c r="R23" s="16"/>
      <c r="S23" s="16"/>
      <c r="T23" s="16"/>
      <c r="U23" s="16"/>
      <c r="V23" s="16"/>
      <c r="W23" s="16"/>
      <c r="X23" s="16"/>
      <c r="Y23" s="16"/>
      <c r="Z23" s="16"/>
      <c r="AA23" s="16"/>
    </row>
    <row r="24" spans="2:27" s="16" customFormat="1" hidden="1">
      <c r="B24" s="20"/>
      <c r="C24" s="201"/>
      <c r="D24" s="201"/>
    </row>
    <row r="25" spans="2:27" s="16" customFormat="1">
      <c r="B25" s="20"/>
      <c r="C25" s="73"/>
      <c r="D25" s="73"/>
    </row>
    <row r="26" spans="2:27" s="16" customFormat="1" hidden="1">
      <c r="B26" s="20"/>
      <c r="C26" s="73"/>
      <c r="D26" s="73"/>
      <c r="E26" s="123">
        <v>0</v>
      </c>
    </row>
    <row r="27" spans="2:27" s="16" customFormat="1" hidden="1">
      <c r="B27" s="20"/>
      <c r="C27" s="74"/>
      <c r="D27" s="74"/>
      <c r="E27" s="123">
        <v>0</v>
      </c>
    </row>
    <row r="28" spans="2:27" s="16" customFormat="1" ht="15.2" customHeight="1">
      <c r="B28" s="53" t="s">
        <v>7</v>
      </c>
      <c r="C28" s="202" t="s">
        <v>21</v>
      </c>
      <c r="D28" s="203"/>
      <c r="E28" s="150"/>
      <c r="F28" s="22"/>
      <c r="G28" s="23"/>
      <c r="H28" s="23"/>
      <c r="I28" s="23"/>
      <c r="J28" s="23"/>
      <c r="K28" s="23"/>
      <c r="L28" s="23"/>
      <c r="M28" s="23"/>
      <c r="N28" s="23"/>
      <c r="O28" s="23"/>
      <c r="P28" s="23"/>
      <c r="Q28" s="23"/>
      <c r="R28" s="23"/>
      <c r="S28" s="23"/>
      <c r="T28" s="23"/>
      <c r="U28" s="23"/>
      <c r="V28" s="23"/>
      <c r="W28" s="23"/>
      <c r="X28" s="23"/>
      <c r="Y28" s="23"/>
      <c r="Z28" s="23"/>
      <c r="AA28" s="23"/>
    </row>
    <row r="29" spans="2:27" hidden="1">
      <c r="B29" s="20"/>
      <c r="C29" s="18"/>
      <c r="D29" s="18"/>
      <c r="E29" s="124"/>
      <c r="F29" s="16"/>
      <c r="G29" s="16"/>
      <c r="H29" s="16"/>
      <c r="I29" s="16"/>
      <c r="J29" s="16"/>
      <c r="K29" s="16"/>
      <c r="L29" s="16"/>
      <c r="M29" s="16"/>
      <c r="N29" s="16"/>
      <c r="O29" s="16"/>
      <c r="P29" s="16"/>
      <c r="Q29" s="16"/>
      <c r="R29" s="16"/>
      <c r="S29" s="16"/>
      <c r="T29" s="16"/>
      <c r="U29" s="16"/>
      <c r="V29" s="16"/>
      <c r="W29" s="16"/>
      <c r="X29" s="16"/>
      <c r="Y29" s="16"/>
      <c r="Z29" s="16"/>
      <c r="AA29" s="16"/>
    </row>
    <row r="30" spans="2:27">
      <c r="B30" s="20"/>
      <c r="C30" s="18"/>
      <c r="D30" s="18"/>
      <c r="E30" s="24"/>
      <c r="F30" s="16"/>
      <c r="G30" s="16"/>
      <c r="H30" s="16"/>
      <c r="I30" s="16"/>
      <c r="J30" s="16"/>
      <c r="K30" s="16"/>
      <c r="L30" s="16"/>
      <c r="M30" s="16"/>
      <c r="N30" s="16"/>
      <c r="O30" s="16"/>
      <c r="P30" s="16"/>
      <c r="Q30" s="16"/>
      <c r="R30" s="16"/>
      <c r="S30" s="16"/>
      <c r="T30" s="16"/>
      <c r="U30" s="16"/>
      <c r="V30" s="16"/>
      <c r="W30" s="16"/>
      <c r="X30" s="16"/>
      <c r="Y30" s="16"/>
      <c r="Z30" s="16"/>
      <c r="AA30" s="16"/>
    </row>
    <row r="31" spans="2:27" ht="27.75" customHeight="1">
      <c r="B31" s="51" t="s">
        <v>9</v>
      </c>
      <c r="C31" s="202" t="s">
        <v>100</v>
      </c>
      <c r="D31" s="203"/>
      <c r="E31" s="157"/>
      <c r="F31" s="15"/>
      <c r="G31" s="16"/>
      <c r="H31" s="16"/>
      <c r="I31" s="16"/>
      <c r="J31" s="16"/>
      <c r="K31" s="16"/>
      <c r="L31" s="16"/>
      <c r="M31" s="16"/>
      <c r="N31" s="16"/>
      <c r="O31" s="16"/>
      <c r="P31" s="16"/>
      <c r="Q31" s="16"/>
      <c r="R31" s="16"/>
      <c r="S31" s="16"/>
      <c r="T31" s="16"/>
      <c r="U31" s="16"/>
      <c r="V31" s="16"/>
      <c r="W31" s="16"/>
      <c r="X31" s="16"/>
      <c r="Y31" s="16"/>
      <c r="Z31" s="16"/>
      <c r="AA31" s="16"/>
    </row>
    <row r="32" spans="2:27">
      <c r="B32" s="26"/>
      <c r="C32" s="27"/>
      <c r="D32" s="27"/>
      <c r="E32" s="28"/>
      <c r="F32" s="16"/>
      <c r="G32" s="16"/>
      <c r="H32" s="16"/>
      <c r="I32" s="16"/>
      <c r="J32" s="16"/>
      <c r="K32" s="16"/>
      <c r="L32" s="16"/>
      <c r="M32" s="16"/>
      <c r="N32" s="16"/>
      <c r="O32" s="16"/>
      <c r="P32" s="16"/>
      <c r="Q32" s="16"/>
      <c r="R32" s="16"/>
      <c r="S32" s="16"/>
      <c r="T32" s="16"/>
      <c r="U32" s="16"/>
      <c r="V32" s="16"/>
      <c r="W32" s="16"/>
      <c r="X32" s="16"/>
      <c r="Y32" s="16"/>
      <c r="Z32" s="16"/>
      <c r="AA32" s="16"/>
    </row>
    <row r="33" spans="2:27" ht="26.25" customHeight="1">
      <c r="B33" s="216" t="s">
        <v>95</v>
      </c>
      <c r="C33" s="216"/>
      <c r="D33" s="216"/>
      <c r="E33" s="216"/>
      <c r="F33" s="216"/>
      <c r="G33" s="216"/>
      <c r="H33" s="216"/>
      <c r="I33" s="16"/>
      <c r="J33" s="16"/>
      <c r="K33" s="16"/>
      <c r="L33" s="16"/>
      <c r="M33" s="16"/>
      <c r="N33" s="16"/>
      <c r="O33" s="16"/>
      <c r="P33" s="16"/>
      <c r="Q33" s="16"/>
      <c r="R33" s="16"/>
      <c r="S33" s="16"/>
      <c r="T33" s="16"/>
      <c r="U33" s="16"/>
      <c r="V33" s="16"/>
      <c r="W33" s="16"/>
      <c r="X33" s="16"/>
      <c r="Y33" s="16"/>
      <c r="Z33" s="16"/>
      <c r="AA33" s="16"/>
    </row>
    <row r="34" spans="2:27" ht="15" customHeight="1">
      <c r="B34" s="204" t="s">
        <v>99</v>
      </c>
      <c r="C34" s="204"/>
      <c r="D34" s="204"/>
      <c r="E34" s="204"/>
      <c r="F34" s="204"/>
      <c r="G34" s="204"/>
      <c r="H34" s="204"/>
      <c r="I34" s="16"/>
      <c r="J34" s="16"/>
      <c r="K34" s="16"/>
      <c r="L34" s="16"/>
      <c r="M34" s="16"/>
      <c r="N34" s="16"/>
      <c r="O34" s="16"/>
      <c r="P34" s="16"/>
      <c r="Q34" s="16"/>
      <c r="R34" s="16"/>
      <c r="S34" s="16"/>
      <c r="T34" s="16"/>
      <c r="U34" s="16"/>
      <c r="V34" s="16"/>
      <c r="W34" s="16"/>
      <c r="X34" s="16"/>
      <c r="Y34" s="16"/>
      <c r="Z34" s="16"/>
      <c r="AA34" s="16"/>
    </row>
    <row r="35" spans="2:27" ht="48" customHeight="1">
      <c r="B35" s="113"/>
      <c r="C35" s="113"/>
      <c r="D35" s="113"/>
      <c r="E35" s="113"/>
      <c r="F35" s="113"/>
      <c r="G35" s="105"/>
      <c r="H35" s="105"/>
      <c r="I35" s="16"/>
      <c r="J35" s="16"/>
      <c r="K35" s="16"/>
      <c r="L35" s="16"/>
      <c r="M35" s="16"/>
      <c r="N35" s="16"/>
      <c r="O35" s="16"/>
      <c r="P35" s="16"/>
      <c r="Q35" s="16"/>
      <c r="R35" s="16"/>
      <c r="S35" s="16"/>
      <c r="T35" s="16"/>
      <c r="U35" s="16"/>
      <c r="V35" s="16"/>
      <c r="W35" s="16"/>
      <c r="X35" s="16"/>
      <c r="Y35" s="16"/>
      <c r="Z35" s="16"/>
      <c r="AA35" s="16"/>
    </row>
    <row r="36" spans="2:27" ht="45" customHeight="1">
      <c r="B36" s="30"/>
      <c r="C36" s="29"/>
      <c r="D36" s="131" t="str">
        <f>"Fuel Conversion Factors ("&amp;E20&amp;"/kWh)"</f>
        <v>Fuel Conversion Factors (/kWh)</v>
      </c>
      <c r="E36" s="128" t="s">
        <v>13</v>
      </c>
      <c r="F36" s="129" t="s">
        <v>109</v>
      </c>
      <c r="G36" s="126" t="s">
        <v>110</v>
      </c>
    </row>
    <row r="37" spans="2:27" ht="24.75" customHeight="1">
      <c r="B37" s="198" t="s">
        <v>10</v>
      </c>
      <c r="C37" s="25" t="s">
        <v>16</v>
      </c>
      <c r="D37" s="38"/>
      <c r="E37" s="39">
        <f>E16</f>
        <v>0</v>
      </c>
      <c r="F37" s="130">
        <f>E16</f>
        <v>0</v>
      </c>
      <c r="G37" s="138"/>
    </row>
    <row r="38" spans="2:27" ht="44.25" customHeight="1">
      <c r="B38" s="199"/>
      <c r="C38" s="31" t="s">
        <v>104</v>
      </c>
      <c r="D38" s="37"/>
      <c r="E38" s="158">
        <f>IF(F38=0,SUM(G38:G38),F38)</f>
        <v>0</v>
      </c>
      <c r="F38" s="159"/>
      <c r="G38" s="160"/>
    </row>
    <row r="39" spans="2:27">
      <c r="B39" s="199"/>
      <c r="C39" s="31" t="str">
        <f>"Electricity used (PRIMARY) (kWh)"</f>
        <v>Electricity used (PRIMARY) (kWh)</v>
      </c>
      <c r="D39" s="32">
        <f>IF(E20="kg",ROUND(0.52037*12/44/2.6,4)/1000*1000,ROUND(0.52037*12/44/2.6,4)/1000)</f>
        <v>5.4600000000000006E-5</v>
      </c>
      <c r="E39" s="158">
        <f t="shared" ref="E39:E62" si="0">IF(F39=0,SUM(G39:G39),F39)</f>
        <v>0</v>
      </c>
      <c r="F39" s="159"/>
      <c r="G39" s="160"/>
    </row>
    <row r="40" spans="2:27">
      <c r="B40" s="199"/>
      <c r="C40" s="31" t="str">
        <f>"Natural Gas used (kWh)"</f>
        <v>Natural Gas used (kWh)</v>
      </c>
      <c r="D40" s="32">
        <f>IF(E20="kg",ROUND(0.18521*12/44,4)/1000*1000,ROUND(0.18521*12/44,4)/1000)</f>
        <v>5.0500000000000001E-5</v>
      </c>
      <c r="E40" s="158">
        <f t="shared" si="0"/>
        <v>0</v>
      </c>
      <c r="F40" s="159"/>
      <c r="G40" s="160"/>
    </row>
    <row r="41" spans="2:27">
      <c r="B41" s="199"/>
      <c r="C41" s="31" t="str">
        <f>"Fuel Oil used (kWh)"</f>
        <v>Fuel Oil used (kWh)</v>
      </c>
      <c r="D41" s="32">
        <f>IF(E20="kg",ROUND(0.26826*12/44,4)/1000*1000,ROUND(0.26826*12/44,4)/1000)</f>
        <v>7.3200000000000004E-5</v>
      </c>
      <c r="E41" s="158">
        <f t="shared" si="0"/>
        <v>0</v>
      </c>
      <c r="F41" s="159"/>
      <c r="G41" s="160"/>
    </row>
    <row r="42" spans="2:27">
      <c r="B42" s="199"/>
      <c r="C42" s="31" t="str">
        <f>"Coal used (kWh)"</f>
        <v>Coal used (kWh)</v>
      </c>
      <c r="D42" s="32">
        <f>IF(E20="kg",ROUND(0.29117*12/44,4)/1000*1000,ROUND(0.29117*12/44,4)/1000)</f>
        <v>7.9399999999999992E-5</v>
      </c>
      <c r="E42" s="158">
        <f t="shared" si="0"/>
        <v>0</v>
      </c>
      <c r="F42" s="159"/>
      <c r="G42" s="160"/>
    </row>
    <row r="43" spans="2:27">
      <c r="B43" s="199"/>
      <c r="C43" s="31" t="str">
        <f>"Coke used (kWh)"</f>
        <v>Coke used (kWh)</v>
      </c>
      <c r="D43" s="32">
        <f>IF(E20="kg",ROUND(0.117,4)/1000*1000,ROUND(0.117,4)/1000)</f>
        <v>1.1700000000000001E-4</v>
      </c>
      <c r="E43" s="158">
        <f t="shared" si="0"/>
        <v>0</v>
      </c>
      <c r="F43" s="159"/>
      <c r="G43" s="160"/>
    </row>
    <row r="44" spans="2:27">
      <c r="B44" s="199"/>
      <c r="C44" s="31" t="str">
        <f>"LPG used (kWh)"</f>
        <v>LPG used (kWh)</v>
      </c>
      <c r="D44" s="32">
        <f>IF(E20="kg",ROUND(0.21455*12/44,4)/1000*1000,ROUND(0.21455*12/44,4)/1000)</f>
        <v>5.8500000000000006E-5</v>
      </c>
      <c r="E44" s="158">
        <f t="shared" si="0"/>
        <v>0</v>
      </c>
      <c r="F44" s="159"/>
      <c r="G44" s="160"/>
    </row>
    <row r="45" spans="2:27">
      <c r="B45" s="199"/>
      <c r="C45" s="31" t="str">
        <f>"Ethane used (kWh)"</f>
        <v>Ethane used (kWh)</v>
      </c>
      <c r="D45" s="32">
        <f>IF(E20="kg",ROUND(0.0545,4)/1000*1000,ROUND(0.0545,4)/1000)</f>
        <v>5.4499999999999997E-5</v>
      </c>
      <c r="E45" s="158">
        <f t="shared" si="0"/>
        <v>0</v>
      </c>
      <c r="F45" s="159"/>
      <c r="G45" s="160"/>
    </row>
    <row r="46" spans="2:27">
      <c r="B46" s="199"/>
      <c r="C46" s="31" t="str">
        <f>"Kerosene used (kWh)"</f>
        <v>Kerosene used (kWh)</v>
      </c>
      <c r="D46" s="32">
        <f>IF(E20="kg",ROUND(0.24682*12/44,4)/1000*1000,ROUND(0.24682*12/44,4)/1000)</f>
        <v>6.7299999999999996E-5</v>
      </c>
      <c r="E46" s="158">
        <f t="shared" si="0"/>
        <v>0</v>
      </c>
      <c r="F46" s="159"/>
      <c r="G46" s="160"/>
    </row>
    <row r="47" spans="2:27">
      <c r="B47" s="199"/>
      <c r="C47" s="31" t="str">
        <f>"Petrol used (kWh)"</f>
        <v>Petrol used (kWh)</v>
      </c>
      <c r="D47" s="32">
        <f>IF(E20="kg",ROUND(0.2357*12/44,4)/1000*1000,ROUND(0.2357*12/44,4)/1000)</f>
        <v>6.4299999999999991E-5</v>
      </c>
      <c r="E47" s="158">
        <f t="shared" si="0"/>
        <v>0</v>
      </c>
      <c r="F47" s="159"/>
      <c r="G47" s="160"/>
    </row>
    <row r="48" spans="2:27" ht="15" customHeight="1">
      <c r="B48" s="199"/>
      <c r="C48" s="31" t="str">
        <f>"Gas Oil/ Diesel Oil used (kWh)"</f>
        <v>Gas Oil/ Diesel Oil used (kWh)</v>
      </c>
      <c r="D48" s="32">
        <f>IF(E20="kg",ROUND(0.27778*12/44,4)/1000*1000,ROUND(0.27778*12/44,4)/1000)</f>
        <v>7.5800000000000013E-5</v>
      </c>
      <c r="E48" s="158">
        <f t="shared" si="0"/>
        <v>0</v>
      </c>
      <c r="F48" s="159"/>
      <c r="G48" s="160"/>
    </row>
    <row r="49" spans="2:27">
      <c r="B49" s="199"/>
      <c r="C49" s="31" t="str">
        <f>"Naphtha used (kWh)"</f>
        <v>Naphtha used (kWh)</v>
      </c>
      <c r="D49" s="32">
        <f>IF(E20="kg",ROUND(0.23669*12/44,4)/1000*1000,ROUND(0.23669*12/44,4)/1000)</f>
        <v>6.4599999999999998E-5</v>
      </c>
      <c r="E49" s="158">
        <f t="shared" si="0"/>
        <v>0</v>
      </c>
      <c r="F49" s="159"/>
      <c r="G49" s="160"/>
    </row>
    <row r="50" spans="2:27">
      <c r="B50" s="199"/>
      <c r="C50" s="31" t="str">
        <f>"Petroleum Coke used (kWh)"</f>
        <v>Petroleum Coke used (kWh)</v>
      </c>
      <c r="D50" s="32">
        <f>IF(E20="kg",ROUND(0.33307*12/44,4)/1000*1000,ROUND(0.33307*12/44,4)/1000)</f>
        <v>9.0800000000000012E-5</v>
      </c>
      <c r="E50" s="158">
        <f t="shared" si="0"/>
        <v>0</v>
      </c>
      <c r="F50" s="159"/>
      <c r="G50" s="160"/>
    </row>
    <row r="51" spans="2:27">
      <c r="B51" s="199"/>
      <c r="C51" s="31" t="str">
        <f>"Refinery Gas used (kWh)"</f>
        <v>Refinery Gas used (kWh)</v>
      </c>
      <c r="D51" s="32">
        <f>IF(E20="kg",ROUND(0.24591*12/44,4)/1000*1000,ROUND(0.24591*12/44,4)/1000)</f>
        <v>6.7100000000000005E-5</v>
      </c>
      <c r="E51" s="158">
        <f t="shared" si="0"/>
        <v>0</v>
      </c>
      <c r="F51" s="159"/>
      <c r="G51" s="160"/>
    </row>
    <row r="52" spans="2:27">
      <c r="B52" s="199"/>
      <c r="C52" s="87" t="str">
        <f>"Other fuel - 01 - used (kWh)"</f>
        <v>Other fuel - 01 - used (kWh)</v>
      </c>
      <c r="D52" s="88"/>
      <c r="E52" s="158">
        <f t="shared" si="0"/>
        <v>0</v>
      </c>
      <c r="F52" s="159"/>
      <c r="G52" s="160"/>
    </row>
    <row r="53" spans="2:27">
      <c r="B53" s="199"/>
      <c r="C53" s="87" t="str">
        <f>"Other fuel - 02 - used (kWh)"</f>
        <v>Other fuel - 02 - used (kWh)</v>
      </c>
      <c r="D53" s="88"/>
      <c r="E53" s="158">
        <f t="shared" si="0"/>
        <v>0</v>
      </c>
      <c r="F53" s="159"/>
      <c r="G53" s="160"/>
    </row>
    <row r="54" spans="2:27">
      <c r="B54" s="199"/>
      <c r="C54" s="87" t="str">
        <f>"Other fuel - 03 - used (kWh)"</f>
        <v>Other fuel - 03 - used (kWh)</v>
      </c>
      <c r="D54" s="88"/>
      <c r="E54" s="158">
        <f t="shared" si="0"/>
        <v>0</v>
      </c>
      <c r="F54" s="159"/>
      <c r="G54" s="160"/>
    </row>
    <row r="55" spans="2:27">
      <c r="B55" s="199"/>
      <c r="C55" s="87" t="str">
        <f>"Other fuel - 04 - used (kWh)"</f>
        <v>Other fuel - 04 - used (kWh)</v>
      </c>
      <c r="D55" s="88"/>
      <c r="E55" s="158">
        <f t="shared" si="0"/>
        <v>0</v>
      </c>
      <c r="F55" s="159"/>
      <c r="G55" s="160"/>
    </row>
    <row r="56" spans="2:27">
      <c r="B56" s="199"/>
      <c r="C56" s="87" t="str">
        <f>"Other fuel - 05 - used (kWh)"</f>
        <v>Other fuel - 05 - used (kWh)</v>
      </c>
      <c r="D56" s="88"/>
      <c r="E56" s="158">
        <f t="shared" si="0"/>
        <v>0</v>
      </c>
      <c r="F56" s="159"/>
      <c r="G56" s="160"/>
    </row>
    <row r="57" spans="2:27">
      <c r="B57" s="199"/>
      <c r="C57" s="87" t="str">
        <f>"Other fuel - 06 - used (kWh)"</f>
        <v>Other fuel - 06 - used (kWh)</v>
      </c>
      <c r="D57" s="88"/>
      <c r="E57" s="158">
        <f t="shared" si="0"/>
        <v>0</v>
      </c>
      <c r="F57" s="159"/>
      <c r="G57" s="160"/>
    </row>
    <row r="58" spans="2:27">
      <c r="B58" s="199"/>
      <c r="C58" s="87" t="str">
        <f>"Other fuel - 07 - used (kWh)"</f>
        <v>Other fuel - 07 - used (kWh)</v>
      </c>
      <c r="D58" s="88"/>
      <c r="E58" s="158">
        <f t="shared" si="0"/>
        <v>0</v>
      </c>
      <c r="F58" s="159"/>
      <c r="G58" s="160"/>
    </row>
    <row r="59" spans="2:27">
      <c r="B59" s="199"/>
      <c r="C59" s="87" t="str">
        <f>"Other fuel - 08 - used (kWh)"</f>
        <v>Other fuel - 08 - used (kWh)</v>
      </c>
      <c r="D59" s="88"/>
      <c r="E59" s="158">
        <f t="shared" si="0"/>
        <v>0</v>
      </c>
      <c r="F59" s="159"/>
      <c r="G59" s="160"/>
    </row>
    <row r="60" spans="2:27">
      <c r="B60" s="199"/>
      <c r="C60" s="87" t="str">
        <f>"Other fuel - 09 - used (kWh)"</f>
        <v>Other fuel - 09 - used (kWh)</v>
      </c>
      <c r="D60" s="88"/>
      <c r="E60" s="158">
        <f t="shared" si="0"/>
        <v>0</v>
      </c>
      <c r="F60" s="159"/>
      <c r="G60" s="160"/>
    </row>
    <row r="61" spans="2:27">
      <c r="B61" s="199"/>
      <c r="C61" s="87" t="str">
        <f>"Other fuel - 10 - used (kWh)"</f>
        <v>Other fuel - 10 - used (kWh)</v>
      </c>
      <c r="D61" s="88"/>
      <c r="E61" s="158">
        <f t="shared" si="0"/>
        <v>0</v>
      </c>
      <c r="F61" s="159"/>
      <c r="G61" s="160"/>
    </row>
    <row r="62" spans="2:27">
      <c r="B62" s="199"/>
      <c r="C62" s="87" t="str">
        <f>"Other fuel - 11 - used (kWh)"</f>
        <v>Other fuel - 11 - used (kWh)</v>
      </c>
      <c r="D62" s="87"/>
      <c r="E62" s="158">
        <f t="shared" si="0"/>
        <v>0</v>
      </c>
      <c r="F62" s="159"/>
      <c r="G62" s="160"/>
    </row>
    <row r="63" spans="2:27" ht="15" customHeight="1">
      <c r="B63" s="199"/>
      <c r="C63" s="44" t="s">
        <v>120</v>
      </c>
      <c r="D63" s="45"/>
      <c r="E63" s="161" t="e">
        <f>ROUND((SUM(E39:E62)), 14-(1+INT(LOG10(ABS(SUM(E39:E62))))))</f>
        <v>#NUM!</v>
      </c>
      <c r="F63" s="144" t="str">
        <f>IF(AND(SUM(F38:F62)=0,SUM(G38:G62)=0),"No data entered",IF(E18=1,"Single Facility TU",(IF(AND(SUM(F38:F62)&gt;0,SUM(G38:G62)&gt;0),"TU &amp; Facility data entered", IF(SUM(F38:F62)&gt;0, "TU data entered","Facility data entered")))))</f>
        <v>No data entered</v>
      </c>
      <c r="G63" s="28"/>
    </row>
    <row r="64" spans="2:27" ht="30" customHeight="1">
      <c r="B64" s="200"/>
      <c r="C64" s="202" t="str">
        <f>"Target Period Total Carbon ("&amp;E20&amp;") (D)"</f>
        <v>Target Period Total Carbon () (D)</v>
      </c>
      <c r="D64" s="203"/>
      <c r="E64" s="161" t="e">
        <f>ROUND((E63*E113), 14-(1+INT(LOG10(ABS(E63*E113)))))</f>
        <v>#NUM!</v>
      </c>
      <c r="F64" s="16"/>
      <c r="G64" s="16"/>
      <c r="H64" s="16"/>
      <c r="I64" s="16"/>
      <c r="J64" s="16"/>
      <c r="K64" s="16"/>
      <c r="L64" s="16"/>
      <c r="M64" s="16"/>
      <c r="N64" s="16"/>
      <c r="O64" s="16"/>
      <c r="P64" s="16"/>
      <c r="Q64" s="16"/>
      <c r="R64" s="16"/>
      <c r="S64" s="16"/>
      <c r="T64" s="16"/>
      <c r="U64" s="16"/>
      <c r="V64" s="16"/>
      <c r="W64" s="16"/>
      <c r="X64" s="16"/>
      <c r="Y64" s="16"/>
      <c r="Z64" s="16"/>
      <c r="AA64" s="16"/>
    </row>
    <row r="65" spans="2:27" ht="30" customHeight="1">
      <c r="B65" s="216" t="s">
        <v>92</v>
      </c>
      <c r="C65" s="216"/>
      <c r="D65" s="216"/>
      <c r="E65" s="216"/>
      <c r="F65" s="216"/>
      <c r="G65" s="216"/>
      <c r="H65" s="216"/>
      <c r="I65" s="216"/>
      <c r="J65" s="216"/>
      <c r="K65" s="16"/>
      <c r="L65" s="16"/>
      <c r="M65" s="16"/>
      <c r="N65" s="16"/>
      <c r="O65" s="16"/>
      <c r="P65" s="16"/>
      <c r="Q65" s="16"/>
      <c r="R65" s="16"/>
      <c r="S65" s="16"/>
      <c r="T65" s="16"/>
      <c r="U65" s="16"/>
      <c r="V65" s="16"/>
      <c r="W65" s="16"/>
      <c r="X65" s="16"/>
      <c r="Y65" s="16"/>
      <c r="Z65" s="16"/>
      <c r="AA65" s="16"/>
    </row>
    <row r="66" spans="2:27" ht="22.5" customHeight="1">
      <c r="F66" s="125" t="s">
        <v>109</v>
      </c>
      <c r="G66" s="126" t="s">
        <v>110</v>
      </c>
    </row>
    <row r="67" spans="2:27" s="40" customFormat="1" ht="16.5" customHeight="1">
      <c r="B67" s="213" t="s">
        <v>12</v>
      </c>
      <c r="C67" s="218" t="str">
        <f>"Target Period CHP delivered electricity (kWh)"</f>
        <v>Target Period CHP delivered electricity (kWh)</v>
      </c>
      <c r="D67" s="219"/>
      <c r="E67" s="132"/>
      <c r="F67" s="163">
        <f>IF(F69=0,SUM(G67:G67),IF(F38/F69*F39/2.6-F39/2.6&lt;0,"Error",F38/F69*F39/2.6-F39/2.6))</f>
        <v>0</v>
      </c>
      <c r="G67" s="160"/>
    </row>
    <row r="68" spans="2:27" s="40" customFormat="1" ht="15" customHeight="1">
      <c r="B68" s="214"/>
      <c r="C68" s="218" t="s">
        <v>11</v>
      </c>
      <c r="D68" s="219"/>
      <c r="E68" s="127"/>
      <c r="F68" s="133"/>
      <c r="G68" s="164">
        <f>IF(G38="",1,G39/2.6/(G39/2.6+G67))</f>
        <v>1</v>
      </c>
    </row>
    <row r="69" spans="2:27" s="40" customFormat="1" ht="15" customHeight="1">
      <c r="B69" s="215"/>
      <c r="C69" s="218" t="s">
        <v>19</v>
      </c>
      <c r="D69" s="219"/>
      <c r="E69" s="162" t="e">
        <f>ROUND((IF(SUM(G67:G67)=0,IF(F69=0,E38,F69),SUM(G69:G69))), 14-(1+INT(LOG10(ABS(IF(SUM(G67:G67)=0,IF(F69=0,E38,F69),SUM(G69:G69)))))))</f>
        <v>#NUM!</v>
      </c>
      <c r="F69" s="165"/>
      <c r="G69" s="164">
        <f>IF(G67="",G38,G68*G38)</f>
        <v>0</v>
      </c>
    </row>
    <row r="70" spans="2:27" ht="13.5" customHeight="1">
      <c r="F70" s="145" t="str">
        <f>IF(AND(F69=0,SUM(G67:G67)=0),"No data entered",IF(AND(F69&gt;0,SUM(G67:G67)&gt;0),"TU &amp; Facility data entered", IF(F69&gt;0, "TU data entered","Facility data entered")))</f>
        <v>No data entered</v>
      </c>
    </row>
    <row r="71" spans="2:27" s="40" customFormat="1" ht="37.5" customHeight="1">
      <c r="B71" s="212" t="s">
        <v>93</v>
      </c>
      <c r="C71" s="212"/>
      <c r="D71" s="212"/>
      <c r="E71" s="212"/>
      <c r="F71" s="212"/>
      <c r="G71" s="1"/>
      <c r="H71" s="41"/>
      <c r="I71" s="41"/>
      <c r="J71" s="41"/>
      <c r="K71" s="41"/>
      <c r="L71" s="41"/>
      <c r="M71" s="41"/>
      <c r="N71" s="41"/>
      <c r="O71" s="41"/>
      <c r="P71" s="41"/>
      <c r="Q71" s="41"/>
      <c r="R71" s="41"/>
      <c r="S71" s="41"/>
      <c r="T71" s="41"/>
      <c r="U71" s="41"/>
      <c r="V71" s="41"/>
      <c r="W71" s="41"/>
      <c r="X71" s="41"/>
      <c r="Y71" s="41"/>
      <c r="Z71" s="41"/>
      <c r="AA71" s="41"/>
    </row>
    <row r="72" spans="2:27" s="40" customFormat="1" ht="178.5" customHeight="1"/>
    <row r="73" spans="2:27" s="40" customFormat="1" ht="18.75">
      <c r="B73" s="117"/>
      <c r="C73" s="54" t="s">
        <v>23</v>
      </c>
      <c r="D73" s="166"/>
      <c r="E73" s="166"/>
      <c r="F73" s="166"/>
      <c r="G73" s="166"/>
      <c r="H73" s="166"/>
      <c r="I73" s="166"/>
      <c r="J73" s="166"/>
      <c r="K73" s="166"/>
      <c r="L73" s="166"/>
      <c r="M73" s="166"/>
      <c r="N73" s="166"/>
      <c r="O73" s="166"/>
      <c r="P73" s="166"/>
      <c r="Q73" s="166"/>
      <c r="R73" s="56"/>
      <c r="S73" s="57"/>
      <c r="T73" s="57"/>
      <c r="U73" s="57"/>
      <c r="V73" s="57"/>
      <c r="W73" s="57"/>
    </row>
    <row r="74" spans="2:27" s="40" customFormat="1">
      <c r="B74" s="213" t="s">
        <v>128</v>
      </c>
      <c r="C74" s="54" t="s">
        <v>102</v>
      </c>
      <c r="D74" s="151" t="s">
        <v>101</v>
      </c>
      <c r="E74" s="151" t="s">
        <v>101</v>
      </c>
      <c r="F74" s="151" t="s">
        <v>101</v>
      </c>
      <c r="G74" s="151" t="s">
        <v>101</v>
      </c>
      <c r="H74" s="151" t="s">
        <v>101</v>
      </c>
      <c r="I74" s="151" t="s">
        <v>101</v>
      </c>
      <c r="J74" s="151" t="s">
        <v>101</v>
      </c>
      <c r="K74" s="151" t="s">
        <v>101</v>
      </c>
      <c r="L74" s="151" t="s">
        <v>101</v>
      </c>
      <c r="M74" s="151" t="s">
        <v>101</v>
      </c>
      <c r="N74" s="151" t="s">
        <v>101</v>
      </c>
      <c r="O74" s="151" t="s">
        <v>101</v>
      </c>
      <c r="P74" s="151" t="s">
        <v>101</v>
      </c>
      <c r="Q74" s="151" t="s">
        <v>101</v>
      </c>
      <c r="R74" s="56"/>
      <c r="S74" s="57"/>
      <c r="T74" s="57"/>
      <c r="U74" s="57"/>
      <c r="V74" s="57"/>
      <c r="W74" s="57"/>
    </row>
    <row r="75" spans="2:27" s="40" customFormat="1" ht="18.75" hidden="1" customHeight="1">
      <c r="B75" s="214"/>
      <c r="C75" s="54" t="s">
        <v>103</v>
      </c>
      <c r="D75" s="118" t="s">
        <v>101</v>
      </c>
      <c r="E75" s="118" t="s">
        <v>101</v>
      </c>
      <c r="F75" s="118" t="s">
        <v>101</v>
      </c>
      <c r="G75" s="118" t="s">
        <v>101</v>
      </c>
      <c r="H75" s="118" t="s">
        <v>101</v>
      </c>
      <c r="I75" s="118" t="s">
        <v>101</v>
      </c>
      <c r="J75" s="118" t="s">
        <v>101</v>
      </c>
      <c r="K75" s="118" t="s">
        <v>101</v>
      </c>
      <c r="L75" s="118" t="s">
        <v>101</v>
      </c>
      <c r="M75" s="118" t="s">
        <v>101</v>
      </c>
      <c r="N75" s="118" t="s">
        <v>101</v>
      </c>
      <c r="O75" s="118" t="s">
        <v>101</v>
      </c>
      <c r="P75" s="118" t="s">
        <v>101</v>
      </c>
      <c r="Q75" s="118" t="s">
        <v>101</v>
      </c>
      <c r="R75" s="56"/>
      <c r="S75" s="57"/>
      <c r="T75" s="57"/>
      <c r="U75" s="57"/>
      <c r="V75" s="57"/>
      <c r="W75" s="57"/>
    </row>
    <row r="76" spans="2:27" s="40" customFormat="1" ht="18" customHeight="1">
      <c r="B76" s="214"/>
      <c r="C76" s="54" t="e">
        <f>IF(E69=E38,"Production t0","Adjusted Production t0")</f>
        <v>#NUM!</v>
      </c>
      <c r="D76" s="167"/>
      <c r="E76" s="167"/>
      <c r="F76" s="167"/>
      <c r="G76" s="167"/>
      <c r="H76" s="167"/>
      <c r="I76" s="167"/>
      <c r="J76" s="167"/>
      <c r="K76" s="167"/>
      <c r="L76" s="167"/>
      <c r="M76" s="167"/>
      <c r="N76" s="167"/>
      <c r="O76" s="167"/>
      <c r="P76" s="167"/>
      <c r="Q76" s="167"/>
      <c r="R76" s="58"/>
      <c r="S76" s="50"/>
      <c r="T76" s="59"/>
      <c r="U76" s="59"/>
      <c r="V76" s="59"/>
      <c r="W76" s="59"/>
    </row>
    <row r="77" spans="2:27" s="40" customFormat="1" ht="18">
      <c r="B77" s="214"/>
      <c r="C77" s="54" t="s">
        <v>119</v>
      </c>
      <c r="D77" s="167"/>
      <c r="E77" s="167"/>
      <c r="F77" s="167"/>
      <c r="G77" s="167"/>
      <c r="H77" s="167"/>
      <c r="I77" s="167"/>
      <c r="J77" s="167"/>
      <c r="K77" s="167"/>
      <c r="L77" s="167"/>
      <c r="M77" s="167"/>
      <c r="N77" s="167"/>
      <c r="O77" s="167"/>
      <c r="P77" s="167"/>
      <c r="Q77" s="167"/>
      <c r="R77" s="210"/>
      <c r="S77" s="211"/>
      <c r="T77" s="50"/>
      <c r="U77" s="50"/>
      <c r="V77" s="59"/>
      <c r="W77" s="59"/>
    </row>
    <row r="78" spans="2:27" s="40" customFormat="1" ht="18">
      <c r="B78" s="215"/>
      <c r="C78" s="54" t="s">
        <v>40</v>
      </c>
      <c r="D78" s="102">
        <f>IF(D77=0,0,IF(D76=0,0,D77/D76))</f>
        <v>0</v>
      </c>
      <c r="E78" s="102">
        <f t="shared" ref="E78:Q78" si="1">IF(E77=0,0,IF(E76=0,0,E77/E76))</f>
        <v>0</v>
      </c>
      <c r="F78" s="102">
        <f t="shared" si="1"/>
        <v>0</v>
      </c>
      <c r="G78" s="102">
        <f t="shared" si="1"/>
        <v>0</v>
      </c>
      <c r="H78" s="102">
        <f t="shared" si="1"/>
        <v>0</v>
      </c>
      <c r="I78" s="102">
        <f t="shared" si="1"/>
        <v>0</v>
      </c>
      <c r="J78" s="102">
        <f t="shared" si="1"/>
        <v>0</v>
      </c>
      <c r="K78" s="102">
        <f t="shared" si="1"/>
        <v>0</v>
      </c>
      <c r="L78" s="102">
        <f t="shared" si="1"/>
        <v>0</v>
      </c>
      <c r="M78" s="102">
        <f t="shared" si="1"/>
        <v>0</v>
      </c>
      <c r="N78" s="102">
        <f t="shared" si="1"/>
        <v>0</v>
      </c>
      <c r="O78" s="102">
        <f t="shared" si="1"/>
        <v>0</v>
      </c>
      <c r="P78" s="102">
        <f t="shared" si="1"/>
        <v>0</v>
      </c>
      <c r="Q78" s="102">
        <f t="shared" si="1"/>
        <v>0</v>
      </c>
      <c r="R78" s="210"/>
      <c r="S78" s="211"/>
      <c r="T78" s="60"/>
      <c r="U78" s="60"/>
      <c r="V78" s="59"/>
      <c r="W78" s="59"/>
    </row>
    <row r="79" spans="2:27" s="40" customFormat="1" ht="18" customHeight="1">
      <c r="B79" s="217" t="s">
        <v>129</v>
      </c>
      <c r="C79" s="168" t="s">
        <v>122</v>
      </c>
      <c r="D79" s="169"/>
      <c r="E79" s="169"/>
      <c r="F79" s="169"/>
      <c r="G79" s="169"/>
      <c r="H79" s="169"/>
      <c r="I79" s="169"/>
      <c r="J79" s="169"/>
      <c r="K79" s="169"/>
      <c r="L79" s="169"/>
      <c r="M79" s="169"/>
      <c r="N79" s="169"/>
      <c r="O79" s="169"/>
      <c r="P79" s="169"/>
      <c r="Q79" s="169"/>
      <c r="R79" s="61"/>
      <c r="S79" s="62"/>
      <c r="T79" s="63"/>
      <c r="U79" s="63"/>
      <c r="V79" s="62"/>
      <c r="W79" s="62"/>
    </row>
    <row r="80" spans="2:27" s="40" customFormat="1">
      <c r="B80" s="217"/>
      <c r="C80" s="54" t="e">
        <f>IF(E69=E38,"Production t0 x2","Adjusted Production t0 x2")</f>
        <v>#NUM!</v>
      </c>
      <c r="D80" s="102">
        <f>IF(D76=0,0,D76*2)</f>
        <v>0</v>
      </c>
      <c r="E80" s="102">
        <f t="shared" ref="E80:Q80" si="2">IF(E76=0,0,E76*2)</f>
        <v>0</v>
      </c>
      <c r="F80" s="102">
        <f t="shared" si="2"/>
        <v>0</v>
      </c>
      <c r="G80" s="102">
        <f t="shared" si="2"/>
        <v>0</v>
      </c>
      <c r="H80" s="102">
        <f t="shared" si="2"/>
        <v>0</v>
      </c>
      <c r="I80" s="102">
        <f t="shared" si="2"/>
        <v>0</v>
      </c>
      <c r="J80" s="102">
        <f t="shared" si="2"/>
        <v>0</v>
      </c>
      <c r="K80" s="102">
        <f t="shared" si="2"/>
        <v>0</v>
      </c>
      <c r="L80" s="102">
        <f t="shared" si="2"/>
        <v>0</v>
      </c>
      <c r="M80" s="102">
        <f t="shared" si="2"/>
        <v>0</v>
      </c>
      <c r="N80" s="102">
        <f t="shared" si="2"/>
        <v>0</v>
      </c>
      <c r="O80" s="102">
        <f t="shared" si="2"/>
        <v>0</v>
      </c>
      <c r="P80" s="102">
        <f t="shared" si="2"/>
        <v>0</v>
      </c>
      <c r="Q80" s="102">
        <f t="shared" si="2"/>
        <v>0</v>
      </c>
      <c r="R80" s="58"/>
      <c r="S80" s="50"/>
      <c r="T80" s="60"/>
      <c r="U80" s="60"/>
      <c r="V80" s="209"/>
      <c r="W80" s="209"/>
    </row>
    <row r="81" spans="2:24" s="40" customFormat="1" ht="18">
      <c r="B81" s="217"/>
      <c r="C81" s="54" t="s">
        <v>41</v>
      </c>
      <c r="D81" s="102">
        <f>IF(D77*(1-D79)=0,0,(D77*(1-D79))*2)</f>
        <v>0</v>
      </c>
      <c r="E81" s="102">
        <f t="shared" ref="E81:Q81" si="3">IF(E77*(1-E79)=0,0,(E77*(1-E79))*2)</f>
        <v>0</v>
      </c>
      <c r="F81" s="102">
        <f t="shared" si="3"/>
        <v>0</v>
      </c>
      <c r="G81" s="102">
        <f t="shared" si="3"/>
        <v>0</v>
      </c>
      <c r="H81" s="102">
        <f t="shared" si="3"/>
        <v>0</v>
      </c>
      <c r="I81" s="102">
        <f t="shared" si="3"/>
        <v>0</v>
      </c>
      <c r="J81" s="102">
        <f t="shared" si="3"/>
        <v>0</v>
      </c>
      <c r="K81" s="102">
        <f t="shared" si="3"/>
        <v>0</v>
      </c>
      <c r="L81" s="102">
        <f t="shared" si="3"/>
        <v>0</v>
      </c>
      <c r="M81" s="102">
        <f t="shared" si="3"/>
        <v>0</v>
      </c>
      <c r="N81" s="102">
        <f t="shared" si="3"/>
        <v>0</v>
      </c>
      <c r="O81" s="102">
        <f t="shared" si="3"/>
        <v>0</v>
      </c>
      <c r="P81" s="102">
        <f t="shared" si="3"/>
        <v>0</v>
      </c>
      <c r="Q81" s="102">
        <f t="shared" si="3"/>
        <v>0</v>
      </c>
      <c r="R81" s="210"/>
      <c r="S81" s="211"/>
      <c r="T81" s="50"/>
      <c r="U81" s="50"/>
      <c r="V81" s="209"/>
      <c r="W81" s="209"/>
    </row>
    <row r="82" spans="2:24" s="40" customFormat="1" ht="18">
      <c r="B82" s="217"/>
      <c r="C82" s="54" t="s">
        <v>42</v>
      </c>
      <c r="D82" s="102">
        <f>IF(D81=0,0,IF(D73=0,0,D81/D80))</f>
        <v>0</v>
      </c>
      <c r="E82" s="102">
        <f t="shared" ref="E82:Q82" si="4">IF(E81=0,0,IF(E73=0,0,E81/E80))</f>
        <v>0</v>
      </c>
      <c r="F82" s="102">
        <f t="shared" si="4"/>
        <v>0</v>
      </c>
      <c r="G82" s="102">
        <f t="shared" si="4"/>
        <v>0</v>
      </c>
      <c r="H82" s="102">
        <f t="shared" si="4"/>
        <v>0</v>
      </c>
      <c r="I82" s="102">
        <f t="shared" si="4"/>
        <v>0</v>
      </c>
      <c r="J82" s="102">
        <f t="shared" si="4"/>
        <v>0</v>
      </c>
      <c r="K82" s="102">
        <f t="shared" si="4"/>
        <v>0</v>
      </c>
      <c r="L82" s="102">
        <f t="shared" si="4"/>
        <v>0</v>
      </c>
      <c r="M82" s="102">
        <f t="shared" si="4"/>
        <v>0</v>
      </c>
      <c r="N82" s="102">
        <f t="shared" si="4"/>
        <v>0</v>
      </c>
      <c r="O82" s="102">
        <f t="shared" si="4"/>
        <v>0</v>
      </c>
      <c r="P82" s="102">
        <f t="shared" si="4"/>
        <v>0</v>
      </c>
      <c r="Q82" s="102">
        <f t="shared" si="4"/>
        <v>0</v>
      </c>
      <c r="R82" s="210"/>
      <c r="S82" s="211"/>
      <c r="T82" s="60"/>
      <c r="U82" s="60"/>
      <c r="V82" s="209"/>
      <c r="W82" s="209"/>
    </row>
    <row r="83" spans="2:24" s="40" customFormat="1" ht="31.5" customHeight="1">
      <c r="B83" s="217" t="s">
        <v>24</v>
      </c>
      <c r="C83" s="54" t="e">
        <f>IF(E69=E38,"Production tN","Adjusted Production tN")</f>
        <v>#NUM!</v>
      </c>
      <c r="D83" s="167"/>
      <c r="E83" s="167"/>
      <c r="F83" s="167"/>
      <c r="G83" s="167"/>
      <c r="H83" s="167"/>
      <c r="I83" s="167"/>
      <c r="J83" s="167"/>
      <c r="K83" s="167"/>
      <c r="L83" s="167"/>
      <c r="M83" s="167"/>
      <c r="N83" s="167"/>
      <c r="O83" s="167"/>
      <c r="P83" s="167"/>
      <c r="Q83" s="167"/>
      <c r="R83" s="58"/>
      <c r="S83" s="50"/>
      <c r="T83" s="60"/>
      <c r="U83" s="60"/>
      <c r="V83" s="64"/>
      <c r="W83" s="64"/>
    </row>
    <row r="84" spans="2:24" s="40" customFormat="1" ht="18" hidden="1">
      <c r="B84" s="217"/>
      <c r="C84" s="54" t="s">
        <v>67</v>
      </c>
      <c r="D84" s="170">
        <v>7</v>
      </c>
      <c r="E84" s="170">
        <v>8</v>
      </c>
      <c r="F84" s="170"/>
      <c r="G84" s="170"/>
      <c r="H84" s="170"/>
      <c r="I84" s="170"/>
      <c r="J84" s="170"/>
      <c r="K84" s="170"/>
      <c r="L84" s="170"/>
      <c r="M84" s="170"/>
      <c r="N84" s="170"/>
      <c r="O84" s="170"/>
      <c r="P84" s="170"/>
      <c r="Q84" s="170"/>
      <c r="R84" s="65"/>
      <c r="S84" s="64"/>
      <c r="T84" s="50"/>
      <c r="U84" s="50"/>
      <c r="V84" s="64"/>
      <c r="W84" s="64"/>
    </row>
    <row r="85" spans="2:24" s="40" customFormat="1" ht="18" hidden="1">
      <c r="B85" s="217"/>
      <c r="C85" s="54" t="s">
        <v>43</v>
      </c>
      <c r="D85" s="102">
        <f>IF(D84=0,0,IF(D73=0,0,D84/D83))</f>
        <v>0</v>
      </c>
      <c r="E85" s="102">
        <f t="shared" ref="E85:Q85" si="5">IF(E84=0,0,IF(E73=0,0,E84/E83))</f>
        <v>0</v>
      </c>
      <c r="F85" s="102">
        <f t="shared" si="5"/>
        <v>0</v>
      </c>
      <c r="G85" s="102">
        <f t="shared" si="5"/>
        <v>0</v>
      </c>
      <c r="H85" s="102">
        <f t="shared" si="5"/>
        <v>0</v>
      </c>
      <c r="I85" s="102">
        <f t="shared" si="5"/>
        <v>0</v>
      </c>
      <c r="J85" s="102">
        <f t="shared" si="5"/>
        <v>0</v>
      </c>
      <c r="K85" s="102">
        <f t="shared" si="5"/>
        <v>0</v>
      </c>
      <c r="L85" s="102">
        <f t="shared" si="5"/>
        <v>0</v>
      </c>
      <c r="M85" s="102">
        <f t="shared" si="5"/>
        <v>0</v>
      </c>
      <c r="N85" s="102">
        <f t="shared" si="5"/>
        <v>0</v>
      </c>
      <c r="O85" s="102">
        <f t="shared" si="5"/>
        <v>0</v>
      </c>
      <c r="P85" s="102">
        <f t="shared" si="5"/>
        <v>0</v>
      </c>
      <c r="Q85" s="102">
        <f t="shared" si="5"/>
        <v>0</v>
      </c>
      <c r="R85" s="65"/>
      <c r="S85" s="64"/>
      <c r="T85" s="60"/>
      <c r="U85" s="60"/>
      <c r="V85" s="64"/>
      <c r="W85" s="64"/>
    </row>
    <row r="86" spans="2:24" s="40" customFormat="1" ht="45">
      <c r="B86" s="52" t="s">
        <v>47</v>
      </c>
      <c r="C86" s="54" t="s">
        <v>68</v>
      </c>
      <c r="D86" s="102">
        <f>IF(D83=0,0,D82*D83)</f>
        <v>0</v>
      </c>
      <c r="E86" s="102">
        <f t="shared" ref="E86:Q86" si="6">IF(E83=0,0,E82*E83)</f>
        <v>0</v>
      </c>
      <c r="F86" s="102">
        <f t="shared" si="6"/>
        <v>0</v>
      </c>
      <c r="G86" s="102">
        <f t="shared" si="6"/>
        <v>0</v>
      </c>
      <c r="H86" s="102">
        <f t="shared" si="6"/>
        <v>0</v>
      </c>
      <c r="I86" s="102">
        <f t="shared" si="6"/>
        <v>0</v>
      </c>
      <c r="J86" s="102">
        <f t="shared" si="6"/>
        <v>0</v>
      </c>
      <c r="K86" s="102">
        <f t="shared" si="6"/>
        <v>0</v>
      </c>
      <c r="L86" s="102">
        <f t="shared" si="6"/>
        <v>0</v>
      </c>
      <c r="M86" s="102">
        <f t="shared" si="6"/>
        <v>0</v>
      </c>
      <c r="N86" s="102">
        <f t="shared" si="6"/>
        <v>0</v>
      </c>
      <c r="O86" s="102">
        <f t="shared" si="6"/>
        <v>0</v>
      </c>
      <c r="P86" s="102">
        <f t="shared" si="6"/>
        <v>0</v>
      </c>
      <c r="Q86" s="102">
        <f t="shared" si="6"/>
        <v>0</v>
      </c>
      <c r="R86" s="65"/>
      <c r="S86" s="64"/>
      <c r="T86" s="50"/>
      <c r="U86" s="60"/>
      <c r="V86" s="64"/>
      <c r="W86" s="64"/>
    </row>
    <row r="87" spans="2:24" s="40" customFormat="1" ht="45">
      <c r="B87" s="52" t="s">
        <v>48</v>
      </c>
      <c r="C87" s="54" t="s">
        <v>69</v>
      </c>
      <c r="D87" s="102">
        <f>IF(D83=0,0,D78*D83)</f>
        <v>0</v>
      </c>
      <c r="E87" s="102">
        <f t="shared" ref="E87:Q87" si="7">IF(E83=0,0,E78*E83)</f>
        <v>0</v>
      </c>
      <c r="F87" s="102">
        <f t="shared" si="7"/>
        <v>0</v>
      </c>
      <c r="G87" s="102">
        <f t="shared" si="7"/>
        <v>0</v>
      </c>
      <c r="H87" s="102">
        <f t="shared" si="7"/>
        <v>0</v>
      </c>
      <c r="I87" s="102">
        <f t="shared" si="7"/>
        <v>0</v>
      </c>
      <c r="J87" s="102">
        <f t="shared" si="7"/>
        <v>0</v>
      </c>
      <c r="K87" s="102">
        <f t="shared" si="7"/>
        <v>0</v>
      </c>
      <c r="L87" s="102">
        <f t="shared" si="7"/>
        <v>0</v>
      </c>
      <c r="M87" s="102">
        <f t="shared" si="7"/>
        <v>0</v>
      </c>
      <c r="N87" s="102">
        <f t="shared" si="7"/>
        <v>0</v>
      </c>
      <c r="O87" s="102">
        <f t="shared" si="7"/>
        <v>0</v>
      </c>
      <c r="P87" s="102">
        <f t="shared" si="7"/>
        <v>0</v>
      </c>
      <c r="Q87" s="102">
        <f t="shared" si="7"/>
        <v>0</v>
      </c>
      <c r="R87" s="65"/>
      <c r="S87" s="64"/>
      <c r="T87" s="50"/>
      <c r="U87" s="60"/>
      <c r="V87" s="64"/>
      <c r="W87" s="64"/>
    </row>
    <row r="88" spans="2:24" s="40" customFormat="1" ht="30" hidden="1">
      <c r="B88" s="217" t="s">
        <v>38</v>
      </c>
      <c r="C88" s="68" t="s">
        <v>70</v>
      </c>
      <c r="D88" s="71" t="s">
        <v>39</v>
      </c>
      <c r="E88" s="71" t="s">
        <v>39</v>
      </c>
      <c r="F88" s="71" t="s">
        <v>39</v>
      </c>
      <c r="G88" s="71" t="s">
        <v>39</v>
      </c>
      <c r="H88" s="71" t="s">
        <v>39</v>
      </c>
      <c r="I88" s="71" t="s">
        <v>39</v>
      </c>
      <c r="J88" s="71" t="s">
        <v>39</v>
      </c>
      <c r="K88" s="71" t="s">
        <v>39</v>
      </c>
      <c r="L88" s="71" t="s">
        <v>39</v>
      </c>
      <c r="M88" s="71" t="s">
        <v>39</v>
      </c>
      <c r="N88" s="71" t="s">
        <v>39</v>
      </c>
      <c r="O88" s="71" t="s">
        <v>39</v>
      </c>
      <c r="P88" s="71" t="s">
        <v>39</v>
      </c>
      <c r="Q88" s="71" t="s">
        <v>39</v>
      </c>
      <c r="R88" s="64"/>
      <c r="S88" s="64"/>
      <c r="T88" s="50"/>
      <c r="U88" s="60"/>
      <c r="V88" s="64"/>
      <c r="W88" s="64"/>
    </row>
    <row r="89" spans="2:24" s="40" customFormat="1" hidden="1">
      <c r="B89" s="217"/>
      <c r="C89" s="68" t="s">
        <v>50</v>
      </c>
      <c r="D89" s="89" t="str">
        <f t="shared" ref="D89:Q89" si="8">IF(D88="Y",($D39*($E39+0.5)+$D40*($E40+0.5)+$D41*($E41+0.5)+$D42*($E42+0.5)+$D43*($E43+0.5)+$D44*($E44+0.5)+$D45*($E45+0.5)+$D46*($E46+0.5)+$D47*($E47+0.5)+$D48*($E48+0.5)+$D49*($E49+0.5)+$D50*($E50+0.5)+$D51*($E51+0.5)+$D52*($E52+0.5)+$D53*($E53+0.5)+$D54*($E54+0.5)+$D55*($E55+0.5)+$D56*($E56+0.5)+$D57*($E57+0.5)+$D58*($E58+0.5)+$D59*($E59+0.5)+$D60*($E60+0.5)+$D61*($E61+0.5)+$D62*($E62+0.5))-$E64,"")</f>
        <v/>
      </c>
      <c r="E89" s="89" t="str">
        <f t="shared" si="8"/>
        <v/>
      </c>
      <c r="F89" s="89" t="str">
        <f t="shared" si="8"/>
        <v/>
      </c>
      <c r="G89" s="89" t="str">
        <f t="shared" si="8"/>
        <v/>
      </c>
      <c r="H89" s="89" t="str">
        <f t="shared" si="8"/>
        <v/>
      </c>
      <c r="I89" s="89" t="str">
        <f t="shared" si="8"/>
        <v/>
      </c>
      <c r="J89" s="89" t="str">
        <f t="shared" si="8"/>
        <v/>
      </c>
      <c r="K89" s="89" t="str">
        <f t="shared" si="8"/>
        <v/>
      </c>
      <c r="L89" s="89" t="str">
        <f t="shared" si="8"/>
        <v/>
      </c>
      <c r="M89" s="89" t="str">
        <f t="shared" si="8"/>
        <v/>
      </c>
      <c r="N89" s="89" t="str">
        <f t="shared" si="8"/>
        <v/>
      </c>
      <c r="O89" s="89" t="str">
        <f t="shared" si="8"/>
        <v/>
      </c>
      <c r="P89" s="89" t="str">
        <f t="shared" si="8"/>
        <v/>
      </c>
      <c r="Q89" s="89" t="str">
        <f t="shared" si="8"/>
        <v/>
      </c>
      <c r="R89" s="75"/>
      <c r="S89" s="75"/>
      <c r="T89" s="50"/>
      <c r="U89" s="60"/>
      <c r="V89" s="75"/>
      <c r="W89" s="75"/>
    </row>
    <row r="90" spans="2:24" s="40" customFormat="1" ht="18" hidden="1">
      <c r="B90" s="217"/>
      <c r="C90" s="54" t="s">
        <v>66</v>
      </c>
      <c r="D90" s="102">
        <f>IF((IF(D88="Y",(IF((D84-D89)=-D89,0,(D84-D89))),D84))=0,0,(IF(D88="Y",(IF((D84-D89)=-D89,"",(D84-D89))),D84)))</f>
        <v>7</v>
      </c>
      <c r="E90" s="102">
        <f t="shared" ref="E90:Q90" si="9">IF((IF(E88="Y",(IF((E84-E89)=-E89,0,(E84-E89))),E84))=0,0,(IF(E88="Y",(IF((E84-E89)=-E89,"",(E84-E89))),E84)))</f>
        <v>8</v>
      </c>
      <c r="F90" s="102">
        <f t="shared" si="9"/>
        <v>0</v>
      </c>
      <c r="G90" s="102">
        <f t="shared" si="9"/>
        <v>0</v>
      </c>
      <c r="H90" s="102">
        <f t="shared" si="9"/>
        <v>0</v>
      </c>
      <c r="I90" s="102">
        <f t="shared" si="9"/>
        <v>0</v>
      </c>
      <c r="J90" s="102">
        <f t="shared" si="9"/>
        <v>0</v>
      </c>
      <c r="K90" s="102">
        <f t="shared" si="9"/>
        <v>0</v>
      </c>
      <c r="L90" s="102">
        <f t="shared" si="9"/>
        <v>0</v>
      </c>
      <c r="M90" s="102">
        <f t="shared" si="9"/>
        <v>0</v>
      </c>
      <c r="N90" s="102">
        <f t="shared" si="9"/>
        <v>0</v>
      </c>
      <c r="O90" s="102">
        <f t="shared" si="9"/>
        <v>0</v>
      </c>
      <c r="P90" s="102">
        <f t="shared" si="9"/>
        <v>0</v>
      </c>
      <c r="Q90" s="102">
        <f t="shared" si="9"/>
        <v>0</v>
      </c>
      <c r="R90" s="64"/>
      <c r="S90" s="64"/>
      <c r="T90" s="50"/>
      <c r="U90" s="60"/>
      <c r="V90" s="64"/>
      <c r="W90" s="64"/>
    </row>
    <row r="91" spans="2:24" s="40" customFormat="1" ht="30" hidden="1">
      <c r="B91" s="217"/>
      <c r="C91" s="69" t="s">
        <v>64</v>
      </c>
      <c r="D91" s="101"/>
      <c r="E91" s="101"/>
      <c r="F91" s="101"/>
      <c r="G91" s="101"/>
      <c r="H91" s="101"/>
      <c r="I91" s="101"/>
      <c r="J91" s="101"/>
      <c r="K91" s="101"/>
      <c r="L91" s="101"/>
      <c r="M91" s="101"/>
      <c r="N91" s="101"/>
      <c r="O91" s="101"/>
      <c r="P91" s="101"/>
      <c r="Q91" s="101"/>
      <c r="R91" s="75"/>
      <c r="S91" s="75"/>
      <c r="T91" s="50"/>
      <c r="U91" s="60"/>
      <c r="V91" s="75"/>
      <c r="W91" s="75"/>
    </row>
    <row r="92" spans="2:24" s="40" customFormat="1" ht="18" hidden="1">
      <c r="B92" s="217"/>
      <c r="C92" s="54" t="s">
        <v>65</v>
      </c>
      <c r="D92" s="103">
        <f>IF(D88="Y",IF((D77+D89)/(D76-(0.5/POWER(10,D91)))*(D83+(0.5/POWER(10,D91)))=-D89,0,IF(AND(D76=0,D77=0),(D83+(0.5/POWER(10,D91))),(D77+D89)/(D76-(0.5/POWER(10,D91)))*(D83+(0.5/POWER(10,D91))))),D87)</f>
        <v>0</v>
      </c>
      <c r="E92" s="103">
        <f t="shared" ref="E92:Q92" si="10">IF(E88="Y",IF((E77+E89)/(E76-(0.5/POWER(10,E91)))*(E83+(0.5/POWER(10,E91)))=-E89,0,IF(AND(E76=0,E77=0),(E83+(0.5/POWER(10,E91))),(E77+E89)/(E76-(0.5/POWER(10,E91)))*(E83+(0.5/POWER(10,E91))))),E87)</f>
        <v>0</v>
      </c>
      <c r="F92" s="103">
        <f t="shared" si="10"/>
        <v>0</v>
      </c>
      <c r="G92" s="103">
        <f t="shared" si="10"/>
        <v>0</v>
      </c>
      <c r="H92" s="103">
        <f t="shared" si="10"/>
        <v>0</v>
      </c>
      <c r="I92" s="103">
        <f t="shared" si="10"/>
        <v>0</v>
      </c>
      <c r="J92" s="103">
        <f t="shared" si="10"/>
        <v>0</v>
      </c>
      <c r="K92" s="103">
        <f t="shared" si="10"/>
        <v>0</v>
      </c>
      <c r="L92" s="103">
        <f t="shared" si="10"/>
        <v>0</v>
      </c>
      <c r="M92" s="103">
        <f t="shared" si="10"/>
        <v>0</v>
      </c>
      <c r="N92" s="103">
        <f t="shared" si="10"/>
        <v>0</v>
      </c>
      <c r="O92" s="103">
        <f t="shared" si="10"/>
        <v>0</v>
      </c>
      <c r="P92" s="103">
        <f t="shared" si="10"/>
        <v>0</v>
      </c>
      <c r="Q92" s="103">
        <f t="shared" si="10"/>
        <v>0</v>
      </c>
      <c r="R92" s="64"/>
      <c r="S92" s="64"/>
      <c r="T92" s="50"/>
      <c r="U92" s="60"/>
      <c r="V92" s="64"/>
      <c r="W92" s="64"/>
    </row>
    <row r="93" spans="2:24" s="40" customFormat="1" ht="174" customHeight="1">
      <c r="B93" s="42"/>
      <c r="C93" s="46"/>
      <c r="D93" s="47"/>
      <c r="E93" s="47"/>
      <c r="F93" s="47"/>
      <c r="G93" s="47"/>
      <c r="H93" s="47"/>
      <c r="I93" s="47"/>
      <c r="J93" s="47"/>
      <c r="K93" s="47"/>
      <c r="L93" s="47"/>
      <c r="M93" s="47"/>
      <c r="N93" s="47"/>
      <c r="O93" s="47"/>
      <c r="P93" s="47"/>
      <c r="Q93" s="47"/>
      <c r="R93" s="48"/>
      <c r="S93" s="48"/>
      <c r="T93" s="47"/>
      <c r="U93" s="49"/>
      <c r="V93" s="48"/>
      <c r="W93" s="48"/>
    </row>
    <row r="94" spans="2:24" s="40" customFormat="1">
      <c r="B94" s="42"/>
      <c r="C94" s="46"/>
      <c r="D94" s="190" t="s">
        <v>32</v>
      </c>
      <c r="E94" s="190" t="s">
        <v>33</v>
      </c>
      <c r="F94" s="46"/>
      <c r="G94" s="47"/>
      <c r="H94" s="47"/>
      <c r="I94" s="47"/>
      <c r="J94" s="47"/>
      <c r="K94" s="47"/>
      <c r="L94" s="47"/>
      <c r="M94" s="47"/>
      <c r="N94" s="47"/>
      <c r="O94" s="47"/>
      <c r="P94" s="47"/>
      <c r="Q94" s="47"/>
      <c r="R94" s="48"/>
      <c r="S94" s="48"/>
      <c r="T94" s="47"/>
      <c r="U94" s="49"/>
      <c r="V94" s="48"/>
      <c r="W94" s="48"/>
    </row>
    <row r="95" spans="2:24" s="40" customFormat="1" ht="30" customHeight="1">
      <c r="B95" s="213" t="s">
        <v>28</v>
      </c>
      <c r="C95" s="54" t="s">
        <v>44</v>
      </c>
      <c r="D95" s="102">
        <f>E23</f>
        <v>0</v>
      </c>
      <c r="E95" s="102">
        <f>SUMIF(D74:Q74,"Yes",D77:Q77)</f>
        <v>0</v>
      </c>
      <c r="F95" s="171" t="str">
        <f>IF(ABS((D95-E95))&lt;0.0005,"OK", "Error")</f>
        <v>OK</v>
      </c>
      <c r="G95" s="47"/>
      <c r="H95" s="47"/>
      <c r="I95" s="47"/>
      <c r="J95" s="47"/>
      <c r="K95" s="47"/>
      <c r="L95" s="47"/>
      <c r="M95" s="47"/>
      <c r="N95" s="47"/>
      <c r="O95" s="47"/>
      <c r="P95" s="47"/>
      <c r="Q95" s="47"/>
      <c r="R95" s="48"/>
      <c r="S95" s="48"/>
      <c r="T95" s="47"/>
      <c r="U95" s="49"/>
      <c r="V95" s="48"/>
      <c r="W95" s="48"/>
      <c r="X95" s="43"/>
    </row>
    <row r="96" spans="2:24" s="40" customFormat="1">
      <c r="B96" s="214"/>
      <c r="C96" s="54" t="s">
        <v>37</v>
      </c>
      <c r="D96" s="172">
        <f>E28</f>
        <v>0</v>
      </c>
      <c r="E96" s="172">
        <f>IF(SUM(D77:Q77)=0,0,(SUMIF(D74:Q74,"Yes",D77:Q77)*2-SUMIF(D74:Q74,"Yes",D81:Q81))/(SUMIF(D74:Q74,"Yes",D77:Q77)*2))</f>
        <v>0</v>
      </c>
      <c r="F96" s="171" t="str">
        <f>IF(ABS((D96-E96))&lt;0.000005,"OK", "Error")</f>
        <v>OK</v>
      </c>
      <c r="G96" s="47"/>
      <c r="H96" s="47"/>
      <c r="I96" s="47"/>
      <c r="J96" s="47"/>
      <c r="K96" s="47"/>
      <c r="L96" s="47"/>
      <c r="M96" s="47"/>
      <c r="N96" s="47"/>
      <c r="O96" s="47"/>
      <c r="P96" s="47"/>
      <c r="Q96" s="47"/>
      <c r="R96" s="48"/>
      <c r="S96" s="48"/>
      <c r="T96" s="47"/>
      <c r="U96" s="49"/>
      <c r="V96" s="48"/>
      <c r="W96" s="48"/>
      <c r="X96" s="43"/>
    </row>
    <row r="97" spans="2:24" s="40" customFormat="1">
      <c r="B97" s="214"/>
      <c r="C97" s="54" t="s">
        <v>29</v>
      </c>
      <c r="D97" s="173" t="e">
        <f>IF(E69&lt;E38,E69,E38)</f>
        <v>#NUM!</v>
      </c>
      <c r="E97" s="102">
        <f>SUM(D83:Q83)</f>
        <v>0</v>
      </c>
      <c r="F97" s="171" t="e">
        <f>IF(ABS((D97-E97))&lt;0.0005,"OK", "Error")</f>
        <v>#NUM!</v>
      </c>
      <c r="G97" s="47"/>
      <c r="H97" s="47"/>
      <c r="I97" s="47"/>
      <c r="J97" s="47"/>
      <c r="K97" s="47"/>
      <c r="L97" s="47"/>
      <c r="M97" s="47"/>
      <c r="N97" s="47"/>
      <c r="O97" s="47"/>
      <c r="P97" s="47"/>
      <c r="Q97" s="47"/>
      <c r="R97" s="48"/>
      <c r="S97" s="48"/>
      <c r="T97" s="47"/>
      <c r="U97" s="49"/>
      <c r="V97" s="48"/>
      <c r="W97" s="48"/>
      <c r="X97" s="43"/>
    </row>
    <row r="98" spans="2:24" s="40" customFormat="1" hidden="1">
      <c r="B98" s="215"/>
      <c r="C98" s="2" t="s">
        <v>45</v>
      </c>
      <c r="D98" s="72" t="e">
        <f>E64</f>
        <v>#NUM!</v>
      </c>
      <c r="E98" s="72">
        <f>SUM(D84:Q84)</f>
        <v>15</v>
      </c>
      <c r="F98" s="90" t="e">
        <f>IF(ABS((D98-E98))&lt;0.0005,"OK", "Error")</f>
        <v>#NUM!</v>
      </c>
      <c r="G98" s="47"/>
      <c r="H98" s="47"/>
      <c r="I98" s="47"/>
      <c r="J98" s="47"/>
      <c r="K98" s="47"/>
      <c r="L98" s="47"/>
      <c r="M98" s="47"/>
      <c r="N98" s="47"/>
      <c r="O98" s="47"/>
      <c r="P98" s="47"/>
      <c r="Q98" s="47"/>
      <c r="R98" s="48"/>
      <c r="S98" s="48"/>
      <c r="T98" s="47"/>
      <c r="U98" s="49"/>
      <c r="V98" s="48"/>
      <c r="W98" s="48"/>
      <c r="X98" s="43"/>
    </row>
    <row r="99" spans="2:24" s="40" customFormat="1">
      <c r="B99" s="42"/>
      <c r="C99" s="46"/>
      <c r="D99" s="47"/>
      <c r="E99" s="47"/>
      <c r="F99" s="92" t="e">
        <f>IF(AND(F102=0,F103=0),IF(AND(F95="OK",F96="OK",F97="OK"),"OK","Error"),"Not checked")</f>
        <v>#NUM!</v>
      </c>
      <c r="G99" s="47"/>
      <c r="H99" s="47"/>
      <c r="I99" s="47"/>
      <c r="J99" s="47"/>
      <c r="K99" s="47"/>
      <c r="L99" s="47"/>
      <c r="M99" s="47"/>
      <c r="N99" s="47"/>
      <c r="O99" s="47"/>
      <c r="P99" s="47"/>
      <c r="Q99" s="47"/>
      <c r="R99" s="48"/>
      <c r="S99" s="48"/>
      <c r="T99" s="47"/>
      <c r="U99" s="49"/>
      <c r="V99" s="48"/>
      <c r="W99" s="48"/>
    </row>
    <row r="100" spans="2:24" s="40" customFormat="1">
      <c r="B100" s="42"/>
      <c r="C100" s="46"/>
      <c r="D100" s="47"/>
      <c r="E100" s="47"/>
      <c r="F100" s="47"/>
      <c r="G100" s="47"/>
      <c r="H100" s="47"/>
      <c r="I100" s="47"/>
      <c r="J100" s="47"/>
      <c r="K100" s="47"/>
      <c r="L100" s="47"/>
      <c r="M100" s="47"/>
      <c r="N100" s="47"/>
      <c r="O100" s="47"/>
      <c r="P100" s="47"/>
      <c r="Q100" s="47"/>
      <c r="R100" s="48"/>
      <c r="S100" s="48"/>
      <c r="T100" s="47"/>
      <c r="U100" s="49"/>
      <c r="V100" s="48"/>
      <c r="W100" s="48"/>
    </row>
    <row r="101" spans="2:24" s="40" customFormat="1" ht="15" customHeight="1">
      <c r="B101" s="217" t="s">
        <v>27</v>
      </c>
      <c r="C101" s="91" t="s">
        <v>46</v>
      </c>
      <c r="D101" s="91" t="s">
        <v>36</v>
      </c>
      <c r="E101" s="173" t="e">
        <f>ROUND(E64, 14-(1+INT(LOG10(ABS(E64)))))</f>
        <v>#NUM!</v>
      </c>
      <c r="F101" s="46"/>
      <c r="G101" s="47"/>
      <c r="H101" s="47"/>
      <c r="I101" s="47"/>
      <c r="J101" s="47"/>
      <c r="K101" s="47"/>
      <c r="L101" s="47"/>
      <c r="M101" s="47"/>
      <c r="N101" s="47"/>
      <c r="O101" s="47"/>
      <c r="P101" s="47"/>
      <c r="Q101" s="47"/>
      <c r="R101" s="48"/>
      <c r="S101" s="48"/>
      <c r="T101" s="47"/>
      <c r="U101" s="49"/>
      <c r="V101" s="48"/>
      <c r="W101" s="48"/>
    </row>
    <row r="102" spans="2:24" s="40" customFormat="1" ht="15" customHeight="1">
      <c r="B102" s="217"/>
      <c r="C102" s="177" t="s">
        <v>47</v>
      </c>
      <c r="D102" s="91" t="s">
        <v>35</v>
      </c>
      <c r="E102" s="173" t="e">
        <f>ROUND((IF(F102=0,SUM(D86:Q86),F102)), 14-(1+INT(LOG10(ABS(IF(F102=0,SUM(D86:Q86),F102))))))</f>
        <v>#NUM!</v>
      </c>
      <c r="F102" s="183"/>
      <c r="G102" s="47"/>
      <c r="H102" s="47"/>
      <c r="I102" s="47"/>
      <c r="J102" s="47"/>
      <c r="K102" s="47"/>
      <c r="L102" s="47"/>
      <c r="M102" s="47"/>
      <c r="N102" s="47"/>
      <c r="O102" s="47"/>
      <c r="P102" s="47"/>
      <c r="Q102" s="47"/>
      <c r="R102" s="48"/>
      <c r="S102" s="48"/>
      <c r="T102" s="47"/>
      <c r="U102" s="49"/>
      <c r="V102" s="48"/>
      <c r="W102" s="48"/>
    </row>
    <row r="103" spans="2:24" s="40" customFormat="1" ht="15" customHeight="1">
      <c r="B103" s="217"/>
      <c r="C103" s="55" t="s">
        <v>48</v>
      </c>
      <c r="D103" s="91" t="s">
        <v>34</v>
      </c>
      <c r="E103" s="173" t="e">
        <f>ROUND((IF(F103=0,SUM(D87:Q87),F103)), 14-(1+INT(LOG10(ABS(IF(F103=0,SUM(D87:Q87),F103))))))</f>
        <v>#NUM!</v>
      </c>
      <c r="F103" s="183"/>
      <c r="G103" s="47"/>
      <c r="H103" s="47"/>
      <c r="I103" s="47"/>
      <c r="J103" s="47"/>
      <c r="K103" s="47"/>
      <c r="L103" s="47"/>
      <c r="M103" s="47"/>
      <c r="N103" s="47"/>
      <c r="O103" s="47"/>
      <c r="P103" s="47"/>
      <c r="Q103" s="47"/>
      <c r="R103" s="48"/>
      <c r="S103" s="48"/>
      <c r="T103" s="47"/>
      <c r="U103" s="49"/>
      <c r="V103" s="48"/>
      <c r="W103" s="48"/>
    </row>
    <row r="104" spans="2:24" s="40" customFormat="1" ht="15" customHeight="1">
      <c r="B104" s="217"/>
      <c r="C104" s="177" t="s">
        <v>116</v>
      </c>
      <c r="D104" s="91" t="s">
        <v>25</v>
      </c>
      <c r="E104" s="174" t="e">
        <f>ROUND((E64/(IF(F103=0,SUM(D87:Q87),F103))), 14-(1+INT(LOG10(ABS(E64/(IF(F103=0,SUM(D87:Q87),F103)))))))</f>
        <v>#NUM!</v>
      </c>
      <c r="F104" s="104"/>
      <c r="G104" s="47"/>
      <c r="H104" s="47"/>
      <c r="I104" s="47"/>
      <c r="J104" s="47"/>
      <c r="K104" s="47"/>
      <c r="L104" s="47"/>
      <c r="M104" s="47"/>
      <c r="N104" s="47"/>
      <c r="O104" s="47"/>
      <c r="P104" s="47"/>
      <c r="Q104" s="47"/>
      <c r="R104" s="48"/>
      <c r="S104" s="48"/>
      <c r="T104" s="47"/>
      <c r="U104" s="49"/>
      <c r="V104" s="48"/>
      <c r="W104" s="48"/>
    </row>
    <row r="105" spans="2:24" s="40" customFormat="1" ht="15" customHeight="1">
      <c r="B105" s="217"/>
      <c r="C105" s="177" t="s">
        <v>117</v>
      </c>
      <c r="D105" s="91" t="s">
        <v>26</v>
      </c>
      <c r="E105" s="174" t="e">
        <f>ROUND((IF(F102=0,SUM(D86:Q86),F102))/(IF(F103=0,SUM(D87:Q87),F103)), 14-(1+INT(LOG10(ABS(IF(F102=0,SUM(D86:Q86),F102))/(IF(F103=0,SUM(D87:Q87),F103))))))</f>
        <v>#DIV/0!</v>
      </c>
      <c r="F105" s="46"/>
      <c r="G105" s="47"/>
      <c r="H105" s="47"/>
      <c r="I105" s="47"/>
      <c r="J105" s="47"/>
      <c r="K105" s="47"/>
      <c r="L105" s="47"/>
      <c r="M105" s="47"/>
      <c r="N105" s="47"/>
      <c r="O105" s="47"/>
      <c r="P105" s="47"/>
      <c r="Q105" s="47"/>
      <c r="R105" s="48"/>
      <c r="S105" s="48"/>
      <c r="T105" s="47"/>
      <c r="U105" s="49"/>
      <c r="V105" s="48"/>
      <c r="W105" s="48"/>
    </row>
    <row r="106" spans="2:24" s="40" customFormat="1" hidden="1">
      <c r="B106" s="217"/>
      <c r="C106" s="178"/>
      <c r="D106" s="179"/>
      <c r="E106" s="175"/>
      <c r="F106" s="46"/>
      <c r="G106" s="47"/>
      <c r="H106" s="47"/>
      <c r="I106" s="47"/>
      <c r="J106" s="47"/>
      <c r="K106" s="47"/>
      <c r="L106" s="47"/>
      <c r="M106" s="47"/>
      <c r="N106" s="47"/>
      <c r="O106" s="47"/>
      <c r="P106" s="47"/>
      <c r="Q106" s="47"/>
      <c r="R106" s="48"/>
      <c r="S106" s="48"/>
      <c r="T106" s="47"/>
      <c r="U106" s="49"/>
      <c r="V106" s="48"/>
      <c r="W106" s="48"/>
    </row>
    <row r="107" spans="2:24" s="40" customFormat="1">
      <c r="B107" s="217"/>
      <c r="C107" s="178" t="s">
        <v>105</v>
      </c>
      <c r="D107" s="179"/>
      <c r="E107" s="176" t="e">
        <f>1-E104</f>
        <v>#NUM!</v>
      </c>
      <c r="F107" s="46"/>
      <c r="G107" s="47"/>
      <c r="H107" s="47"/>
      <c r="I107" s="47"/>
      <c r="J107" s="47"/>
      <c r="K107" s="47"/>
      <c r="L107" s="47"/>
      <c r="M107" s="47"/>
      <c r="N107" s="47"/>
      <c r="O107" s="47"/>
      <c r="P107" s="47"/>
      <c r="Q107" s="47"/>
      <c r="R107" s="48"/>
      <c r="S107" s="48"/>
      <c r="T107" s="47"/>
      <c r="U107" s="49"/>
      <c r="V107" s="48"/>
      <c r="W107" s="48"/>
    </row>
    <row r="108" spans="2:24" s="40" customFormat="1">
      <c r="B108" s="217"/>
      <c r="C108" s="178" t="s">
        <v>106</v>
      </c>
      <c r="D108" s="179"/>
      <c r="E108" s="176" t="e">
        <f>1-E105</f>
        <v>#DIV/0!</v>
      </c>
      <c r="F108" s="46"/>
      <c r="G108" s="47"/>
      <c r="H108" s="47"/>
      <c r="I108" s="47"/>
      <c r="J108" s="47"/>
      <c r="K108" s="47"/>
      <c r="L108" s="47"/>
      <c r="M108" s="47"/>
      <c r="N108" s="47"/>
      <c r="O108" s="47"/>
      <c r="P108" s="47"/>
      <c r="Q108" s="47"/>
      <c r="R108" s="48"/>
      <c r="S108" s="48"/>
      <c r="T108" s="47"/>
      <c r="U108" s="49"/>
      <c r="V108" s="48"/>
      <c r="W108" s="48"/>
    </row>
    <row r="109" spans="2:24" s="40" customFormat="1" ht="30" customHeight="1">
      <c r="B109" s="217"/>
      <c r="C109" s="221" t="s">
        <v>22</v>
      </c>
      <c r="D109" s="222"/>
      <c r="E109" s="180" t="e">
        <f>IF(E104&lt;=E105,"Target Met",IF(AND(E119&gt;0,E117=0),"Buy-out Required",IF(AND(E119&gt;0,E117&gt;0),"Surplus used and buy-out required",IF(AND(E119=0,E117&gt;0),"Surplus used",0))))</f>
        <v>#NUM!</v>
      </c>
      <c r="F109" s="46"/>
      <c r="G109" s="47"/>
      <c r="H109" s="47"/>
      <c r="I109" s="47"/>
      <c r="J109" s="47"/>
      <c r="K109" s="47"/>
      <c r="L109" s="47"/>
      <c r="M109" s="47"/>
      <c r="N109" s="47"/>
      <c r="O109" s="47"/>
      <c r="P109" s="47"/>
      <c r="Q109" s="47"/>
      <c r="R109" s="48"/>
      <c r="S109" s="48"/>
      <c r="T109" s="47"/>
      <c r="U109" s="49"/>
      <c r="V109" s="48"/>
      <c r="W109" s="48"/>
    </row>
    <row r="110" spans="2:24" s="40" customFormat="1"/>
    <row r="111" spans="2:24" ht="26.25" customHeight="1">
      <c r="B111" s="216" t="s">
        <v>91</v>
      </c>
      <c r="C111" s="216"/>
      <c r="D111" s="216"/>
      <c r="E111" s="216"/>
    </row>
    <row r="112" spans="2:24">
      <c r="C112" s="33"/>
      <c r="D112" s="33"/>
    </row>
    <row r="113" spans="1:27" ht="15" customHeight="1">
      <c r="B113" s="223" t="s">
        <v>8</v>
      </c>
      <c r="C113" s="202" t="str">
        <f>"Target period energy to Carbon factor ("&amp;E20&amp;"/kWh)"</f>
        <v>Target period energy to Carbon factor (/kWh)</v>
      </c>
      <c r="D113" s="203"/>
      <c r="E113" s="134" t="e">
        <f>ROUND((SUMPRODUCT(D39:D62,E39:E62)/SUM(E39:E62)), 14-(1+INT(LOG10(ABS(SUMPRODUCT(D39:D62,E39:E62)/SUM(E39:E62))))))</f>
        <v>#DIV/0!</v>
      </c>
      <c r="F113" s="15"/>
      <c r="G113" s="16"/>
      <c r="H113" s="16"/>
      <c r="I113" s="16"/>
      <c r="J113" s="16"/>
      <c r="K113" s="16"/>
      <c r="L113" s="16"/>
      <c r="M113" s="16"/>
      <c r="N113" s="16"/>
      <c r="O113" s="16"/>
      <c r="P113" s="16"/>
      <c r="Q113" s="16"/>
      <c r="R113" s="16"/>
      <c r="S113" s="16"/>
      <c r="T113" s="16"/>
      <c r="U113" s="16"/>
      <c r="V113" s="16"/>
      <c r="W113" s="16"/>
      <c r="X113" s="16"/>
      <c r="Y113" s="16"/>
      <c r="Z113" s="16"/>
      <c r="AA113" s="16"/>
    </row>
    <row r="114" spans="1:27" ht="15" customHeight="1">
      <c r="B114" s="224"/>
      <c r="C114" s="202" t="str">
        <f>"Equivalent Carbon (for buy-out calculation) ("&amp;E20&amp;")"</f>
        <v>Equivalent Carbon (for buy-out calculation) ()</v>
      </c>
      <c r="D114" s="203"/>
      <c r="E114" s="98" t="e">
        <f>IF((E102-E101)&lt;0,(E102-E101),0)</f>
        <v>#NUM!</v>
      </c>
      <c r="F114" s="15"/>
      <c r="G114" s="16"/>
      <c r="H114" s="16"/>
      <c r="I114" s="16"/>
      <c r="J114" s="16"/>
      <c r="K114" s="16"/>
      <c r="L114" s="16"/>
      <c r="M114" s="16"/>
      <c r="N114" s="16"/>
      <c r="O114" s="16"/>
      <c r="P114" s="16"/>
      <c r="Q114" s="16"/>
      <c r="R114" s="16"/>
      <c r="S114" s="16"/>
      <c r="T114" s="16"/>
      <c r="U114" s="16"/>
      <c r="V114" s="16"/>
      <c r="W114" s="16"/>
      <c r="X114" s="16"/>
      <c r="Y114" s="16"/>
      <c r="Z114" s="16"/>
      <c r="AA114" s="16"/>
    </row>
    <row r="115" spans="1:27" ht="15" customHeight="1">
      <c r="B115" s="224"/>
      <c r="C115" s="202" t="str">
        <f>"Equivalent Carbon (for surplus calculation) ("&amp;E20&amp;")"</f>
        <v>Equivalent Carbon (for surplus calculation) ()</v>
      </c>
      <c r="D115" s="203"/>
      <c r="E115" s="98" t="e">
        <f>IF((E102-E101)&gt;0,(E102-E101),0)</f>
        <v>#NUM!</v>
      </c>
      <c r="F115" s="15"/>
      <c r="G115" s="16"/>
      <c r="H115" s="16"/>
      <c r="I115" s="16"/>
      <c r="J115" s="16"/>
      <c r="K115" s="16"/>
      <c r="L115" s="16"/>
      <c r="M115" s="16"/>
      <c r="N115" s="16"/>
      <c r="O115" s="16"/>
      <c r="P115" s="16"/>
      <c r="Q115" s="16"/>
      <c r="R115" s="16"/>
      <c r="S115" s="16"/>
      <c r="T115" s="16"/>
      <c r="U115" s="16"/>
      <c r="V115" s="16"/>
      <c r="W115" s="16"/>
      <c r="X115" s="16"/>
      <c r="Y115" s="16"/>
      <c r="Z115" s="16"/>
      <c r="AA115" s="16"/>
    </row>
    <row r="116" spans="1:27" ht="17.25" customHeight="1">
      <c r="B116" s="224"/>
      <c r="C116" s="202" t="s">
        <v>97</v>
      </c>
      <c r="D116" s="203"/>
      <c r="E116" s="181" t="e">
        <f>ROUND((IF(E20="kg",(SUMPRODUCT(D39:D62,E39:E62)*44/12)/1000,SUMPRODUCT(D39:D62,E39:E62)*44/12)), 14-(1+INT(LOG10(ABS(IF(E20="kg",(SUMPRODUCT(D39:D62,E39:E62)*44/12)/1000,SUMPRODUCT(D39:D62,E39:E62)*44/12))))))</f>
        <v>#NUM!</v>
      </c>
      <c r="F116" s="15"/>
      <c r="G116" s="16"/>
      <c r="H116" s="16"/>
      <c r="I116" s="16"/>
      <c r="J116" s="16"/>
      <c r="K116" s="16"/>
      <c r="L116" s="16"/>
      <c r="M116" s="16"/>
      <c r="N116" s="16"/>
      <c r="O116" s="16"/>
      <c r="P116" s="16"/>
      <c r="Q116" s="16"/>
      <c r="R116" s="16"/>
      <c r="S116" s="16"/>
      <c r="T116" s="16"/>
      <c r="U116" s="16"/>
      <c r="V116" s="16"/>
      <c r="W116" s="16"/>
      <c r="X116" s="16"/>
      <c r="Y116" s="16"/>
      <c r="Z116" s="16"/>
      <c r="AA116" s="16"/>
    </row>
    <row r="117" spans="1:27" ht="17.25" customHeight="1">
      <c r="B117" s="224"/>
      <c r="C117" s="152" t="s">
        <v>124</v>
      </c>
      <c r="D117" s="153"/>
      <c r="E117" s="182" t="e">
        <f>IF(E31&gt;ROUNDUP((IF(E114&lt;0,(IF(E20="kg",ABS(E114)/1000,ABS(E114))),0)*44/12),0),ROUNDUP((IF(E114&lt;0,(IF(E20="kg",ABS(E114)/1000,ABS(E114))),0)*44/12),0),E31)</f>
        <v>#NUM!</v>
      </c>
      <c r="F117" s="15"/>
      <c r="G117" s="16"/>
      <c r="H117" s="16"/>
      <c r="I117" s="16"/>
      <c r="J117" s="16"/>
      <c r="K117" s="16"/>
      <c r="L117" s="16"/>
      <c r="M117" s="16"/>
      <c r="N117" s="16"/>
      <c r="O117" s="16"/>
      <c r="P117" s="16"/>
      <c r="Q117" s="16"/>
      <c r="R117" s="16"/>
      <c r="S117" s="16"/>
      <c r="T117" s="16"/>
      <c r="U117" s="16"/>
      <c r="V117" s="16"/>
      <c r="W117" s="16"/>
      <c r="X117" s="16"/>
      <c r="Y117" s="16"/>
      <c r="Z117" s="16"/>
      <c r="AA117" s="16"/>
    </row>
    <row r="118" spans="1:27" ht="17.25" customHeight="1">
      <c r="B118" s="224"/>
      <c r="C118" s="202" t="s">
        <v>125</v>
      </c>
      <c r="D118" s="203"/>
      <c r="E118" s="182" t="e">
        <f>IF(E20="kg",ROUNDDOWN((IF(E115&gt;0,E115,0)*44/12)/1000,0),ROUNDDOWN((IF(E115&gt;0,E115,0)*44/12),0))</f>
        <v>#NUM!</v>
      </c>
      <c r="F118" s="15"/>
      <c r="G118" s="16"/>
      <c r="H118" s="16"/>
      <c r="I118" s="16"/>
      <c r="J118" s="16"/>
      <c r="K118" s="16"/>
      <c r="L118" s="16"/>
      <c r="M118" s="16"/>
      <c r="N118" s="16"/>
      <c r="O118" s="16"/>
      <c r="P118" s="16"/>
      <c r="Q118" s="16"/>
      <c r="R118" s="16"/>
      <c r="S118" s="16"/>
      <c r="T118" s="16"/>
      <c r="U118" s="16"/>
      <c r="V118" s="16"/>
      <c r="W118" s="16"/>
      <c r="X118" s="16"/>
      <c r="Y118" s="16"/>
      <c r="Z118" s="16"/>
      <c r="AA118" s="16"/>
    </row>
    <row r="119" spans="1:27" ht="16.5" customHeight="1">
      <c r="B119" s="224"/>
      <c r="C119" s="202" t="s">
        <v>98</v>
      </c>
      <c r="D119" s="203"/>
      <c r="E119" s="182" t="e">
        <f>IF((-E31+ROUNDUP((IF(E114&lt;0,(IF(E20="kg",ABS(E114)/1000,ABS(E114))),0)*44/12),0))&lt;0,0,(-E31+ROUNDUP((IF(E114&lt;0,(IF(E20="kg",ABS(E114)/1000,ABS(E114))),0)*44/12),0)))</f>
        <v>#NUM!</v>
      </c>
      <c r="F119" s="15"/>
      <c r="G119" s="16"/>
      <c r="H119" s="16"/>
      <c r="I119" s="16"/>
      <c r="J119" s="16"/>
      <c r="K119" s="16"/>
      <c r="L119" s="16"/>
      <c r="M119" s="16"/>
      <c r="N119" s="16"/>
      <c r="O119" s="16"/>
      <c r="P119" s="16"/>
      <c r="Q119" s="16"/>
      <c r="R119" s="16"/>
      <c r="S119" s="16"/>
      <c r="T119" s="16"/>
      <c r="U119" s="16"/>
      <c r="V119" s="16"/>
      <c r="W119" s="16"/>
      <c r="X119" s="16"/>
      <c r="Y119" s="16"/>
      <c r="Z119" s="16"/>
      <c r="AA119" s="16"/>
    </row>
    <row r="120" spans="1:27">
      <c r="B120" s="225"/>
      <c r="C120" s="202" t="s">
        <v>20</v>
      </c>
      <c r="D120" s="203"/>
      <c r="E120" s="99" t="e">
        <f>ROUND(E119*12,0)</f>
        <v>#NUM!</v>
      </c>
      <c r="F120" s="16"/>
      <c r="G120" s="35"/>
      <c r="H120" s="16"/>
      <c r="I120" s="16"/>
      <c r="J120" s="16"/>
      <c r="K120" s="16"/>
      <c r="L120" s="16"/>
      <c r="M120" s="16"/>
      <c r="N120" s="16"/>
      <c r="O120" s="16"/>
      <c r="P120" s="16"/>
      <c r="Q120" s="16"/>
      <c r="R120" s="16"/>
      <c r="S120" s="16"/>
      <c r="T120" s="16"/>
      <c r="U120" s="16"/>
      <c r="V120" s="16"/>
      <c r="W120" s="16"/>
      <c r="X120" s="16"/>
      <c r="Y120" s="16"/>
      <c r="Z120" s="16"/>
      <c r="AA120" s="16"/>
    </row>
    <row r="122" spans="1:27" ht="26.25" customHeight="1">
      <c r="A122" s="121"/>
      <c r="B122" s="216" t="s">
        <v>112</v>
      </c>
      <c r="C122" s="216"/>
      <c r="D122" s="216"/>
      <c r="E122" s="216"/>
    </row>
    <row r="123" spans="1:27">
      <c r="A123" s="121"/>
      <c r="C123" s="33"/>
      <c r="D123" s="33"/>
    </row>
    <row r="124" spans="1:27" ht="15" customHeight="1">
      <c r="A124" s="121"/>
      <c r="B124" s="192" t="s">
        <v>8</v>
      </c>
      <c r="C124" s="202" t="str">
        <f>"Target period energy to Carbon factor ("&amp;E20&amp;"/kWh)"</f>
        <v>Target period energy to Carbon factor (/kWh)</v>
      </c>
      <c r="D124" s="203"/>
      <c r="E124" s="134" t="e">
        <f>ROUND((SUMPRODUCT(D39:D62,E39:E62)/SUM(E39:E62)), 14-(1+INT(LOG10(ABS(SUMPRODUCT(D39:D62,E39:E62)/SUM(E39:E62))))))</f>
        <v>#DIV/0!</v>
      </c>
      <c r="F124" s="15"/>
      <c r="G124" s="16"/>
      <c r="H124" s="16"/>
      <c r="I124" s="16"/>
      <c r="J124" s="67"/>
      <c r="K124" s="16"/>
      <c r="L124" s="16"/>
      <c r="M124" s="16"/>
      <c r="N124" s="16"/>
      <c r="O124" s="16"/>
      <c r="P124" s="16"/>
      <c r="Q124" s="16"/>
      <c r="R124" s="16"/>
      <c r="S124" s="16"/>
      <c r="T124" s="16"/>
      <c r="U124" s="16"/>
      <c r="V124" s="16"/>
      <c r="W124" s="16"/>
      <c r="X124" s="16"/>
      <c r="Y124" s="16"/>
      <c r="Z124" s="16"/>
      <c r="AA124" s="16"/>
    </row>
    <row r="125" spans="1:27" ht="15" customHeight="1">
      <c r="A125" s="121"/>
      <c r="B125" s="192"/>
      <c r="C125" s="202" t="str">
        <f>"Equivalent Carbon (for buy-out calculation) ("&amp;E20&amp;")"</f>
        <v>Equivalent Carbon (for buy-out calculation) ()</v>
      </c>
      <c r="D125" s="203"/>
      <c r="E125" s="184" t="e">
        <f>IF((E102-E101)&lt;0,(E102-E101),0)</f>
        <v>#NUM!</v>
      </c>
      <c r="F125" s="15"/>
      <c r="G125" s="16"/>
      <c r="H125" s="16"/>
      <c r="I125" s="16"/>
      <c r="J125" s="21"/>
      <c r="K125" s="16"/>
      <c r="L125" s="16"/>
      <c r="M125" s="16"/>
      <c r="N125" s="16"/>
      <c r="O125" s="16"/>
      <c r="P125" s="16"/>
      <c r="Q125" s="16"/>
      <c r="R125" s="16"/>
      <c r="S125" s="16"/>
      <c r="T125" s="16"/>
      <c r="U125" s="16"/>
      <c r="V125" s="16"/>
      <c r="W125" s="16"/>
      <c r="X125" s="16"/>
      <c r="Y125" s="16"/>
      <c r="Z125" s="16"/>
      <c r="AA125" s="16"/>
    </row>
    <row r="126" spans="1:27" ht="15" customHeight="1">
      <c r="A126" s="121"/>
      <c r="B126" s="192"/>
      <c r="C126" s="202" t="str">
        <f>"Equivalent Carbon (for surplus calculation) ("&amp;E20&amp;")"</f>
        <v>Equivalent Carbon (for surplus calculation) ()</v>
      </c>
      <c r="D126" s="203"/>
      <c r="E126" s="185" t="e">
        <f>IF((E102-E101)&gt;0,(E102-E101),0)</f>
        <v>#NUM!</v>
      </c>
      <c r="F126" s="15"/>
      <c r="G126" s="16"/>
      <c r="H126" s="16"/>
      <c r="I126" s="16"/>
      <c r="J126" s="21"/>
      <c r="K126" s="16"/>
      <c r="L126" s="16"/>
      <c r="M126" s="16"/>
      <c r="N126" s="16"/>
      <c r="O126" s="16"/>
      <c r="P126" s="16"/>
      <c r="Q126" s="16"/>
      <c r="R126" s="16"/>
      <c r="S126" s="16"/>
      <c r="T126" s="16"/>
      <c r="U126" s="16"/>
      <c r="V126" s="16"/>
      <c r="W126" s="16"/>
      <c r="X126" s="16"/>
      <c r="Y126" s="16"/>
      <c r="Z126" s="16"/>
      <c r="AA126" s="16"/>
    </row>
    <row r="127" spans="1:27" ht="19.5" customHeight="1">
      <c r="A127" s="121"/>
      <c r="B127" s="192"/>
      <c r="C127" s="220" t="s">
        <v>97</v>
      </c>
      <c r="D127" s="220"/>
      <c r="E127" s="186" t="e">
        <f>ROUND((IF(E20="kg",(SUMPRODUCT(D39:D62,E39:E62)*44/12)/1000,SUMPRODUCT(D39:D62,E39:E62)*44/12)), 14-(1+INT(LOG10(ABS(IF(E20="kg",(SUMPRODUCT(D39:D62,E39:E62)*44/12)/1000,SUMPRODUCT(D39:D62,E39:E62)*44/12))))))</f>
        <v>#NUM!</v>
      </c>
      <c r="F127" s="15"/>
      <c r="G127" s="16"/>
      <c r="H127" s="16"/>
      <c r="I127" s="16"/>
      <c r="J127" s="21"/>
      <c r="K127" s="16"/>
      <c r="L127" s="16"/>
      <c r="M127" s="16"/>
      <c r="N127" s="16"/>
      <c r="O127" s="16"/>
      <c r="P127" s="16"/>
      <c r="Q127" s="16"/>
      <c r="R127" s="16"/>
      <c r="S127" s="16"/>
      <c r="T127" s="16"/>
      <c r="U127" s="16"/>
      <c r="V127" s="16"/>
      <c r="W127" s="16"/>
      <c r="X127" s="16"/>
      <c r="Y127" s="16"/>
      <c r="Z127" s="16"/>
      <c r="AA127" s="16"/>
    </row>
    <row r="128" spans="1:27" ht="18.75" customHeight="1">
      <c r="A128" s="121"/>
      <c r="B128" s="192"/>
      <c r="C128" s="220" t="s">
        <v>111</v>
      </c>
      <c r="D128" s="220"/>
      <c r="E128" s="187" t="e">
        <f>IF(ROUNDUP((IF(E125&lt;0,ABS(E125),0)*44/12),0)&lt;0,0,IF(E20="kg",ROUNDUP((IF(E125&lt;0,ABS(E125),0)*44/12)/1000,0),ROUNDUP((IF(E125&lt;0,ABS(E125),0)*44/12),0)))</f>
        <v>#NUM!</v>
      </c>
      <c r="F128" s="100"/>
      <c r="G128" s="16"/>
      <c r="H128" s="16"/>
      <c r="I128" s="16"/>
      <c r="J128" s="34"/>
      <c r="K128" s="16"/>
      <c r="L128" s="16"/>
      <c r="M128" s="16"/>
      <c r="N128" s="16"/>
      <c r="O128" s="16"/>
      <c r="P128" s="16"/>
      <c r="Q128" s="16"/>
      <c r="R128" s="16"/>
      <c r="S128" s="16"/>
      <c r="T128" s="16"/>
      <c r="U128" s="16"/>
      <c r="V128" s="16"/>
      <c r="W128" s="16"/>
      <c r="X128" s="16"/>
      <c r="Y128" s="16"/>
      <c r="Z128" s="16"/>
      <c r="AA128" s="16"/>
    </row>
    <row r="129" spans="1:27">
      <c r="A129" s="121"/>
      <c r="B129" s="192"/>
      <c r="C129" s="202" t="s">
        <v>126</v>
      </c>
      <c r="D129" s="203"/>
      <c r="E129" s="188"/>
    </row>
    <row r="130" spans="1:27" ht="15" customHeight="1">
      <c r="A130" s="121"/>
      <c r="B130" s="192"/>
      <c r="C130" s="202" t="s">
        <v>127</v>
      </c>
      <c r="D130" s="203"/>
      <c r="E130" s="189"/>
      <c r="F130" s="119"/>
      <c r="G130" s="16"/>
      <c r="H130" s="16"/>
      <c r="I130" s="16"/>
      <c r="J130" s="67"/>
      <c r="K130" s="16"/>
      <c r="L130" s="16"/>
      <c r="M130" s="16"/>
      <c r="N130" s="16"/>
      <c r="O130" s="16"/>
      <c r="P130" s="16"/>
      <c r="Q130" s="16"/>
      <c r="R130" s="16"/>
      <c r="S130" s="16"/>
      <c r="T130" s="16"/>
      <c r="U130" s="16"/>
      <c r="V130" s="16"/>
      <c r="W130" s="16"/>
      <c r="X130" s="16"/>
      <c r="Y130" s="16"/>
      <c r="Z130" s="16"/>
      <c r="AA130" s="16"/>
    </row>
    <row r="131" spans="1:27" ht="15" customHeight="1">
      <c r="A131" s="121"/>
      <c r="B131" s="192"/>
      <c r="C131" s="202" t="s">
        <v>118</v>
      </c>
      <c r="D131" s="203"/>
      <c r="E131" s="189"/>
      <c r="F131" s="120"/>
      <c r="G131" s="16"/>
      <c r="H131" s="16"/>
      <c r="I131" s="16"/>
      <c r="J131" s="21"/>
      <c r="K131" s="16"/>
      <c r="L131" s="16"/>
      <c r="M131" s="16"/>
      <c r="N131" s="16"/>
      <c r="O131" s="16"/>
      <c r="P131" s="16"/>
      <c r="Q131" s="16"/>
      <c r="R131" s="16"/>
      <c r="S131" s="16"/>
      <c r="T131" s="16"/>
      <c r="U131" s="16"/>
      <c r="V131" s="16"/>
      <c r="W131" s="16"/>
      <c r="X131" s="16"/>
      <c r="Y131" s="16"/>
      <c r="Z131" s="16"/>
      <c r="AA131" s="16"/>
    </row>
    <row r="132" spans="1:27" ht="15" customHeight="1">
      <c r="A132" s="121"/>
      <c r="B132" s="192"/>
      <c r="C132" s="202" t="s">
        <v>107</v>
      </c>
      <c r="D132" s="203"/>
      <c r="E132" s="187" t="e">
        <f>MAX(E128-E130,0)-E129</f>
        <v>#NUM!</v>
      </c>
    </row>
    <row r="133" spans="1:27">
      <c r="A133" s="121"/>
      <c r="B133" s="192"/>
      <c r="C133" s="202" t="s">
        <v>108</v>
      </c>
      <c r="D133" s="203"/>
      <c r="E133" s="99" t="e">
        <f>ROUND(E132*12,0)</f>
        <v>#NUM!</v>
      </c>
    </row>
  </sheetData>
  <sheetProtection password="E3DD" sheet="1"/>
  <mergeCells count="61">
    <mergeCell ref="E8:G8"/>
    <mergeCell ref="C129:D129"/>
    <mergeCell ref="C130:D130"/>
    <mergeCell ref="C131:D131"/>
    <mergeCell ref="C132:D132"/>
    <mergeCell ref="C133:D133"/>
    <mergeCell ref="B122:E122"/>
    <mergeCell ref="C124:D124"/>
    <mergeCell ref="C125:D125"/>
    <mergeCell ref="B33:H33"/>
    <mergeCell ref="C126:D126"/>
    <mergeCell ref="C127:D127"/>
    <mergeCell ref="C128:D128"/>
    <mergeCell ref="B74:B78"/>
    <mergeCell ref="C109:D109"/>
    <mergeCell ref="C69:D69"/>
    <mergeCell ref="B113:B120"/>
    <mergeCell ref="C113:D113"/>
    <mergeCell ref="C114:D114"/>
    <mergeCell ref="B101:B109"/>
    <mergeCell ref="B95:B98"/>
    <mergeCell ref="C116:D116"/>
    <mergeCell ref="C118:D118"/>
    <mergeCell ref="C119:D119"/>
    <mergeCell ref="C120:D120"/>
    <mergeCell ref="B111:E111"/>
    <mergeCell ref="C115:D115"/>
    <mergeCell ref="B67:B69"/>
    <mergeCell ref="B65:J65"/>
    <mergeCell ref="R77:R78"/>
    <mergeCell ref="B79:B82"/>
    <mergeCell ref="B83:B85"/>
    <mergeCell ref="B88:B92"/>
    <mergeCell ref="C67:D67"/>
    <mergeCell ref="C68:D68"/>
    <mergeCell ref="W80:W82"/>
    <mergeCell ref="R81:R82"/>
    <mergeCell ref="S81:S82"/>
    <mergeCell ref="B71:F71"/>
    <mergeCell ref="S77:S78"/>
    <mergeCell ref="V80:V82"/>
    <mergeCell ref="B2:D2"/>
    <mergeCell ref="B16:B23"/>
    <mergeCell ref="C16:D16"/>
    <mergeCell ref="C17:D17"/>
    <mergeCell ref="C18:D18"/>
    <mergeCell ref="C19:D19"/>
    <mergeCell ref="C20:D20"/>
    <mergeCell ref="C21:D21"/>
    <mergeCell ref="C22:D22"/>
    <mergeCell ref="C23:D23"/>
    <mergeCell ref="B124:B133"/>
    <mergeCell ref="E5:G5"/>
    <mergeCell ref="E6:G6"/>
    <mergeCell ref="E9:G9"/>
    <mergeCell ref="B37:B64"/>
    <mergeCell ref="C24:D24"/>
    <mergeCell ref="C28:D28"/>
    <mergeCell ref="C64:D64"/>
    <mergeCell ref="C31:D31"/>
    <mergeCell ref="B34:H34"/>
  </mergeCells>
  <dataValidations count="5">
    <dataValidation type="list" allowBlank="1" showInputMessage="1" showErrorMessage="1" sqref="D88:Q88">
      <formula1>"N, Y"</formula1>
    </dataValidation>
    <dataValidation type="list" allowBlank="1" showInputMessage="1" showErrorMessage="1" sqref="E20">
      <formula1>"kg, tonne"</formula1>
    </dataValidation>
    <dataValidation type="list" allowBlank="1" showInputMessage="1" showErrorMessage="1" sqref="E19">
      <formula1>"Novem"</formula1>
    </dataValidation>
    <dataValidation type="list" allowBlank="1" showInputMessage="1" showErrorMessage="1" sqref="D75:Q75">
      <formula1>"Please select, TU Base Year, 2009, 2010, 2011, 2012, 2013, 2014, 2015, 2016, 2017, 2018, 2019, 2020"</formula1>
    </dataValidation>
    <dataValidation type="list" allowBlank="1" showInputMessage="1" showErrorMessage="1" sqref="D74:Q74">
      <formula1>"Please select, Yes, No"</formula1>
    </dataValidation>
  </dataValidations>
  <pageMargins left="0.70866141732283472" right="0.70866141732283472" top="0.74803149606299213" bottom="0.74803149606299213" header="0.31496062992125984" footer="0.31496062992125984"/>
  <pageSetup paperSize="8" scale="52" orientation="portrait"/>
  <legacy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21"/>
  <sheetViews>
    <sheetView workbookViewId="0">
      <selection activeCell="F9" sqref="F9"/>
    </sheetView>
  </sheetViews>
  <sheetFormatPr defaultRowHeight="15"/>
  <cols>
    <col min="1" max="1" width="9.140625" style="40"/>
    <col min="2" max="2" width="10.42578125" customWidth="1"/>
    <col min="3" max="6" width="20.7109375" customWidth="1"/>
    <col min="7" max="7" width="20.7109375" style="40" customWidth="1"/>
  </cols>
  <sheetData>
    <row r="1" spans="1:10" ht="26.25">
      <c r="A1" s="78" t="s">
        <v>56</v>
      </c>
      <c r="B1" s="79"/>
      <c r="C1" s="79"/>
      <c r="D1" s="79"/>
      <c r="E1" s="79"/>
      <c r="F1" s="79"/>
      <c r="G1" s="79"/>
      <c r="H1" s="80"/>
      <c r="I1" s="77"/>
      <c r="J1" s="77"/>
    </row>
    <row r="2" spans="1:10">
      <c r="A2" s="81"/>
      <c r="B2" s="82"/>
      <c r="C2" s="82"/>
      <c r="D2" s="82"/>
      <c r="E2" s="82"/>
      <c r="F2" s="82"/>
      <c r="G2" s="82"/>
      <c r="H2" s="83"/>
    </row>
    <row r="3" spans="1:10">
      <c r="A3" s="81"/>
      <c r="B3" s="82"/>
      <c r="C3" s="82"/>
      <c r="D3" s="76"/>
      <c r="E3" s="82"/>
      <c r="F3" s="82"/>
      <c r="G3" s="82"/>
      <c r="H3" s="83"/>
      <c r="I3" s="40"/>
      <c r="J3" s="40"/>
    </row>
    <row r="4" spans="1:10">
      <c r="A4" s="81"/>
      <c r="B4" s="82"/>
      <c r="C4" s="82"/>
      <c r="D4" s="82"/>
      <c r="E4" s="82"/>
      <c r="F4" s="82"/>
      <c r="G4" s="82"/>
      <c r="H4" s="83"/>
      <c r="I4" s="40"/>
      <c r="J4" s="40"/>
    </row>
    <row r="5" spans="1:10">
      <c r="A5" s="81"/>
      <c r="B5" s="82"/>
      <c r="C5" s="232" t="s">
        <v>55</v>
      </c>
      <c r="D5" s="232"/>
      <c r="E5" s="232"/>
      <c r="F5" s="232"/>
      <c r="G5" s="232"/>
      <c r="H5" s="83"/>
      <c r="I5" s="40"/>
      <c r="J5" s="40"/>
    </row>
    <row r="6" spans="1:10">
      <c r="A6" s="81"/>
      <c r="B6" s="82"/>
      <c r="C6" s="217" t="s">
        <v>51</v>
      </c>
      <c r="D6" s="213" t="s">
        <v>52</v>
      </c>
      <c r="E6" s="213" t="s">
        <v>53</v>
      </c>
      <c r="F6" s="213" t="s">
        <v>54</v>
      </c>
      <c r="G6" s="217" t="s">
        <v>61</v>
      </c>
      <c r="H6" s="83"/>
      <c r="I6" s="40"/>
      <c r="J6" s="40"/>
    </row>
    <row r="7" spans="1:10">
      <c r="A7" s="81"/>
      <c r="B7" s="82"/>
      <c r="C7" s="217"/>
      <c r="D7" s="215"/>
      <c r="E7" s="215"/>
      <c r="F7" s="215"/>
      <c r="G7" s="217"/>
      <c r="H7" s="83"/>
      <c r="I7" s="40"/>
      <c r="J7" s="40"/>
    </row>
    <row r="8" spans="1:10">
      <c r="A8" s="81"/>
      <c r="B8" s="97" t="s">
        <v>62</v>
      </c>
      <c r="C8" s="94">
        <v>100</v>
      </c>
      <c r="D8" s="95">
        <v>10</v>
      </c>
      <c r="E8" s="96">
        <f>IF(C8&gt;=0,IF(D8&gt;C8,D8,C8),IF(D8&gt;=0,D8,0))</f>
        <v>100</v>
      </c>
      <c r="F8" s="86">
        <f>IF(D8&gt;=C8,0,D8-C8)</f>
        <v>-90</v>
      </c>
      <c r="G8" s="86">
        <f>IF(C8&lt;0,C8+F8,F8)</f>
        <v>-90</v>
      </c>
      <c r="H8" s="83"/>
      <c r="I8" s="40"/>
      <c r="J8" s="40"/>
    </row>
    <row r="9" spans="1:10">
      <c r="A9" s="81"/>
      <c r="B9" s="229" t="s">
        <v>63</v>
      </c>
      <c r="C9" s="230"/>
      <c r="D9" s="230"/>
      <c r="E9" s="231"/>
      <c r="F9" s="86">
        <f>-F8*12</f>
        <v>1080</v>
      </c>
      <c r="G9" s="86">
        <f>-G8*12</f>
        <v>1080</v>
      </c>
      <c r="H9" s="83"/>
      <c r="I9" s="40"/>
      <c r="J9" s="40"/>
    </row>
    <row r="10" spans="1:10">
      <c r="A10" s="81"/>
      <c r="B10" s="82"/>
      <c r="C10" s="82"/>
      <c r="D10" s="82"/>
      <c r="E10" s="82"/>
      <c r="F10" s="82"/>
      <c r="G10" s="82"/>
      <c r="H10" s="83"/>
      <c r="I10" s="40"/>
      <c r="J10" s="40"/>
    </row>
    <row r="11" spans="1:10">
      <c r="A11" s="81"/>
      <c r="B11" s="82"/>
      <c r="C11" s="82"/>
      <c r="D11" s="82"/>
      <c r="E11" s="82"/>
      <c r="F11" s="82"/>
      <c r="G11" s="82"/>
      <c r="H11" s="83"/>
      <c r="I11" s="40"/>
      <c r="J11" s="40"/>
    </row>
    <row r="12" spans="1:10">
      <c r="A12" s="81"/>
      <c r="B12" s="82"/>
      <c r="C12" s="82"/>
      <c r="D12" s="82"/>
      <c r="E12" s="82"/>
      <c r="F12" s="82"/>
      <c r="G12" s="82"/>
      <c r="H12" s="83"/>
      <c r="I12" s="40"/>
      <c r="J12" s="40"/>
    </row>
    <row r="13" spans="1:10">
      <c r="A13" s="81"/>
      <c r="B13" s="82"/>
      <c r="C13" s="82"/>
      <c r="D13" s="82"/>
      <c r="E13" s="82"/>
      <c r="F13" s="82"/>
      <c r="G13" s="82"/>
      <c r="H13" s="83"/>
      <c r="I13" s="40"/>
      <c r="J13" s="40"/>
    </row>
    <row r="14" spans="1:10">
      <c r="A14" s="81"/>
      <c r="B14" s="82"/>
      <c r="C14" s="82"/>
      <c r="D14" s="82"/>
      <c r="E14" s="82"/>
      <c r="F14" s="82"/>
      <c r="G14" s="82"/>
      <c r="H14" s="83"/>
      <c r="I14" s="40"/>
      <c r="J14" s="40"/>
    </row>
    <row r="15" spans="1:10">
      <c r="A15" s="81"/>
      <c r="B15" s="82"/>
      <c r="C15" s="82"/>
      <c r="D15" s="82"/>
      <c r="E15" s="82"/>
      <c r="F15" s="82"/>
      <c r="G15" s="82"/>
      <c r="H15" s="83"/>
      <c r="I15" s="40"/>
      <c r="J15" s="40"/>
    </row>
    <row r="16" spans="1:10">
      <c r="A16" s="81"/>
      <c r="B16" s="82"/>
      <c r="C16" s="82"/>
      <c r="D16" s="82"/>
      <c r="E16" s="82"/>
      <c r="F16" s="82"/>
      <c r="G16" s="82"/>
      <c r="H16" s="83"/>
      <c r="I16" s="40"/>
      <c r="J16" s="40"/>
    </row>
    <row r="17" spans="1:10">
      <c r="A17" s="81"/>
      <c r="B17" s="82"/>
      <c r="C17" s="82"/>
      <c r="D17" s="82"/>
      <c r="E17" s="82"/>
      <c r="F17" s="82"/>
      <c r="G17" s="82"/>
      <c r="H17" s="83"/>
      <c r="I17" s="40"/>
      <c r="J17" s="40"/>
    </row>
    <row r="18" spans="1:10">
      <c r="A18" s="81"/>
      <c r="B18" s="82"/>
      <c r="C18" s="82"/>
      <c r="D18" s="82"/>
      <c r="E18" s="82"/>
      <c r="F18" s="82"/>
      <c r="G18" s="82"/>
      <c r="H18" s="83"/>
      <c r="I18" s="40"/>
      <c r="J18" s="40"/>
    </row>
    <row r="19" spans="1:10">
      <c r="A19" s="81"/>
      <c r="B19" s="82"/>
      <c r="C19" s="82"/>
      <c r="D19" s="82"/>
      <c r="E19" s="82"/>
      <c r="F19" s="82"/>
      <c r="G19" s="82"/>
      <c r="H19" s="83"/>
      <c r="I19" s="40"/>
      <c r="J19" s="40"/>
    </row>
    <row r="20" spans="1:10">
      <c r="A20" s="81"/>
      <c r="B20" s="82"/>
      <c r="C20" s="82"/>
      <c r="D20" s="82"/>
      <c r="E20" s="82"/>
      <c r="F20" s="82"/>
      <c r="G20" s="82"/>
      <c r="H20" s="83"/>
    </row>
    <row r="21" spans="1:10" ht="15.75" thickBot="1">
      <c r="A21" s="93"/>
      <c r="B21" s="84"/>
      <c r="C21" s="84"/>
      <c r="D21" s="84"/>
      <c r="E21" s="84"/>
      <c r="F21" s="84"/>
      <c r="G21" s="84"/>
      <c r="H21" s="85"/>
    </row>
  </sheetData>
  <sheetProtection password="CF99" sheet="1" objects="1" scenarios="1"/>
  <mergeCells count="7">
    <mergeCell ref="B9:E9"/>
    <mergeCell ref="C5:G5"/>
    <mergeCell ref="C6:C7"/>
    <mergeCell ref="D6:D7"/>
    <mergeCell ref="E6:E7"/>
    <mergeCell ref="F6:F7"/>
    <mergeCell ref="G6:G7"/>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774336021B4147A49155E7E6EC1435" ma:contentTypeVersion="0" ma:contentTypeDescription="Create a new document." ma:contentTypeScope="" ma:versionID="7988a60180da12ecaddc51a417f31c2c">
  <xsd:schema xmlns:xsd="http://www.w3.org/2001/XMLSchema" xmlns:xs="http://www.w3.org/2001/XMLSchema" xmlns:p="http://schemas.microsoft.com/office/2006/metadata/properties" xmlns:ns2="0bc99988-b9f6-443e-8ed1-11c290b86be0" targetNamespace="http://schemas.microsoft.com/office/2006/metadata/properties" ma:root="true" ma:fieldsID="552ea9d7492dead6645ef8ce8e604a03" ns2:_="">
    <xsd:import namespace="0bc99988-b9f6-443e-8ed1-11c290b86b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c99988-b9f6-443e-8ed1-11c290b86b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2FF016C-0568-4690-A5B4-167EE8A794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c99988-b9f6-443e-8ed1-11c290b86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B4CF79-3722-416A-B9FD-EBDC472BEB6C}">
  <ds:schemaRefs>
    <ds:schemaRef ds:uri="http://schemas.microsoft.com/office/2006/metadata/longProperties"/>
  </ds:schemaRefs>
</ds:datastoreItem>
</file>

<file path=customXml/itemProps3.xml><?xml version="1.0" encoding="utf-8"?>
<ds:datastoreItem xmlns:ds="http://schemas.openxmlformats.org/officeDocument/2006/customXml" ds:itemID="{EFED641D-91AB-4F5C-BDFF-409BA3651243}">
  <ds:schemaRefs>
    <ds:schemaRef ds:uri="http://schemas.microsoft.com/sharepoint/v3/contenttype/forms"/>
  </ds:schemaRefs>
</ds:datastoreItem>
</file>

<file path=customXml/itemProps4.xml><?xml version="1.0" encoding="utf-8"?>
<ds:datastoreItem xmlns:ds="http://schemas.openxmlformats.org/officeDocument/2006/customXml" ds:itemID="{8EA0DE95-9D9B-40D6-B83F-D9B2B5EFC842}">
  <ds:schemaRefs>
    <ds:schemaRef ds:uri="http://schemas.microsoft.com/sharepoint/events"/>
  </ds:schemaRefs>
</ds:datastoreItem>
</file>

<file path=customXml/itemProps5.xml><?xml version="1.0" encoding="utf-8"?>
<ds:datastoreItem xmlns:ds="http://schemas.openxmlformats.org/officeDocument/2006/customXml" ds:itemID="{A2F6B68A-56ED-4D27-80C7-2A9D9BB05B0F}">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Novem carbon - instructions</vt:lpstr>
      <vt:lpstr>Novem Carbon (inc SRM)</vt:lpstr>
      <vt:lpstr>Sheet1</vt:lpstr>
      <vt:lpstr>Secondary Buy-out Calculator</vt:lpstr>
      <vt:lpstr>'Novem Carbon (inc SRM)'!Print_Area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 carbon reporting template</dc:title>
  <dc:creator>Paul Scott</dc:creator>
  <dc:description>LIT 10091, version 3
Issue date: 02/02/2015</dc:description>
  <cp:lastModifiedBy>nsiebdrat</cp:lastModifiedBy>
  <cp:lastPrinted>2014-03-28T10:20:47Z</cp:lastPrinted>
  <dcterms:created xsi:type="dcterms:W3CDTF">2012-04-24T10:43:28Z</dcterms:created>
  <dcterms:modified xsi:type="dcterms:W3CDTF">2015-02-03T18:01:44Z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bf9e10bf-390b-4404-a99f-7e1d0e97ac4c</vt:lpwstr>
  </property>
  <property fmtid="{D5CDD505-2E9C-101B-9397-08002B2CF9AE}" pid="3" name="ContentTypeId">
    <vt:lpwstr>0x0101005AC3623D874E9C4A9FB208FEC6F487EC</vt:lpwstr>
  </property>
  <property fmtid="{D5CDD505-2E9C-101B-9397-08002B2CF9AE}" pid="4" name="_dlc_DocId">
    <vt:lpwstr>TVZN7CCS4RQY-319-445</vt:lpwstr>
  </property>
  <property fmtid="{D5CDD505-2E9C-101B-9397-08002B2CF9AE}" pid="5" name="_dlc_DocIdUrl">
    <vt:lpwstr>https://team.sfwltd.co.uk/sites/Projects/EA_CCA/_layouts/15/DocIdRedir.aspx?ID=TVZN7CCS4RQY-319-445, TVZN7CCS4RQY-319-445</vt:lpwstr>
  </property>
</Properties>
</file>