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35" windowWidth="18045" windowHeight="6360" tabRatio="810" activeTab="0"/>
  </bookViews>
  <sheets>
    <sheet name="QA" sheetId="1" r:id="rId1"/>
    <sheet name="Instructions" sheetId="2" r:id="rId2"/>
    <sheet name="User Interface" sheetId="3" r:id="rId3"/>
    <sheet name="Results" sheetId="4" r:id="rId4"/>
    <sheet name="Controller" sheetId="5" r:id="rId5"/>
    <sheet name="Lists" sheetId="6" r:id="rId6"/>
    <sheet name="CBA" sheetId="7" r:id="rId7"/>
    <sheet name="Assumptions" sheetId="8" r:id="rId8"/>
    <sheet name="Non-dom Benchmarks" sheetId="9" r:id="rId9"/>
    <sheet name="Domestic Benchmarks" sheetId="10" r:id="rId10"/>
    <sheet name="Costs" sheetId="11" r:id="rId11"/>
    <sheet name="IAG Fuel Price Projections" sheetId="12" r:id="rId12"/>
    <sheet name="Sheet1" sheetId="13" r:id="rId13"/>
  </sheets>
  <definedNames>
    <definedName name="AIR">'Lists'!$K$8</definedName>
    <definedName name="B_USE">'Lists'!$B$6:$B$8</definedName>
    <definedName name="BILL_STRAT">'Lists'!$V$6:$V$8</definedName>
    <definedName name="BLOCKS">'Lists'!$B$58:$B$67</definedName>
    <definedName name="BUILD_USE">'Controller'!$D$10</definedName>
    <definedName name="CHECK_DOM">'Lists'!$L$41</definedName>
    <definedName name="CHECK_NONDOM">'Lists'!$L$40</definedName>
    <definedName name="CHILLED">'Lists'!$K$19</definedName>
    <definedName name="CONTROLS">'Lists'!$Q$40:$Q$42</definedName>
    <definedName name="COOL_AIR">'Lists'!$AA$20</definedName>
    <definedName name="COOL_EMITTER_NONDOM">'Lists'!$AA$20:$AA$24</definedName>
    <definedName name="COOL_MEDIUM_NONDOM">'Lists'!$K$19:$K$20</definedName>
    <definedName name="COOL_METER_NO">'Lists'!$C$54</definedName>
    <definedName name="COOL_METER_YES">'Lists'!$C$53</definedName>
    <definedName name="COOL_VRF">'Lists'!$AA$22</definedName>
    <definedName name="COOLING_NA">'Lists'!$C$60</definedName>
    <definedName name="COST_ERROR">'Lists'!$L$46</definedName>
    <definedName name="DATA_MISSING">'Lists'!$C$66</definedName>
    <definedName name="DET_HOUSE">'Lists'!$C$51</definedName>
    <definedName name="DHW_SOURCE">'Lists'!$AA$35:$AA$38</definedName>
    <definedName name="DHW_USES">'Lists'!$K$22:$K$23</definedName>
    <definedName name="DOM_AGE">'Lists'!$O$6:$O$13</definedName>
    <definedName name="DOM_SYS_CONFIG">'Lists'!$V$40:$V$42</definedName>
    <definedName name="DOM_TYPE">'Lists'!$Q$6:$Q$9</definedName>
    <definedName name="DWELL_NO">'Lists'!$L$42</definedName>
    <definedName name="EMITTER">'Lists'!$AA$6:$AA$8</definedName>
    <definedName name="EMITTER_NONDOM">'Lists'!$AA$12:$AA$16</definedName>
    <definedName name="ERROR">'Lists'!$C$50</definedName>
    <definedName name="GI_ERROR">'Lists'!$C$58</definedName>
    <definedName name="HCA_INSTALL" localSheetId="1">'Lists'!#REF!</definedName>
    <definedName name="HCA_INSTALL">'Lists'!#REF!</definedName>
    <definedName name="HCA_NO">'Lists'!$C$47</definedName>
    <definedName name="HCA_NOTE">'Lists'!$C$64</definedName>
    <definedName name="HCA_READY">'Lists'!$C$45</definedName>
    <definedName name="HCA_YES">'Lists'!$C$44</definedName>
    <definedName name="IAG">'Lists'!$Z$6:$Z$8</definedName>
    <definedName name="INST_CONT">'Lists'!$L$50</definedName>
    <definedName name="INST_CONT2">'Lists'!$L$51</definedName>
    <definedName name="INST_NOWT">'Lists'!$L$52</definedName>
    <definedName name="INST_SCEN">'Lists'!$Y$40:$Y$42</definedName>
    <definedName name="LEGAL_NOTE">'Lists'!$C$65</definedName>
    <definedName name="LTHW">'Lists'!$K$6</definedName>
    <definedName name="MEDIUM">'Lists'!$K$6:$K$7</definedName>
    <definedName name="MEDIUM_NONDOM">'Lists'!$K$12:$K$13</definedName>
    <definedName name="METER_?">'Lists'!$C$49</definedName>
    <definedName name="METER_INSTALL">'Lists'!$T$17</definedName>
    <definedName name="METER_NO">'Lists'!$C$48</definedName>
    <definedName name="METER_YES">'Lists'!$C$40</definedName>
    <definedName name="METER_YES2">'Lists'!$C$41</definedName>
    <definedName name="MIXED_USE">'Lists'!$L$45</definedName>
    <definedName name="MP_ENTRY">'Lists'!$V$41</definedName>
    <definedName name="MTR_STRAT">'Lists'!$T$6:$T$10</definedName>
    <definedName name="NDB_TYPE">'Lists'!$F$6:$F$34</definedName>
    <definedName name="No_metering_within_block">'Lists'!$T$6:$T$9</definedName>
    <definedName name="NON_VIABLE">'Lists'!$C$56</definedName>
    <definedName name="NONDOM_NO">'Lists'!$L$43</definedName>
    <definedName name="_xlnm.Print_Area" localSheetId="0">'QA'!$A$2:$J$42</definedName>
    <definedName name="REFRIGERANT">'Lists'!$K$20</definedName>
    <definedName name="REFURB_NOTE">'Lists'!$C$63</definedName>
    <definedName name="REGION">'Lists'!$D$6:$D$23</definedName>
    <definedName name="SP_ENTRY">'Lists'!$V$40</definedName>
    <definedName name="ST">'Lists'!$K$7</definedName>
    <definedName name="STAGE">'Lists'!$H$6:$H$7</definedName>
    <definedName name="SUB_ZONES">'Lists'!$D$58:$D$67</definedName>
    <definedName name="TECHDATA_MISSING">'Lists'!$C$61</definedName>
    <definedName name="UNK">'Lists'!$L$55</definedName>
    <definedName name="VENT_NONDOM">'Lists'!$AA$29:$AA$31</definedName>
    <definedName name="YN">'Lists'!$X$6:$X$7</definedName>
    <definedName name="YNU">'Lists'!$Y$6:$Y$8</definedName>
  </definedNames>
  <calcPr fullCalcOnLoad="1" iterate="1" iterateCount="100" iterateDelta="0.001"/>
</workbook>
</file>

<file path=xl/comments7.xml><?xml version="1.0" encoding="utf-8"?>
<comments xmlns="http://schemas.openxmlformats.org/spreadsheetml/2006/main">
  <authors>
    <author>olloquie</author>
  </authors>
  <commentList>
    <comment ref="B20" authorId="0">
      <text>
        <r>
          <rPr>
            <b/>
            <sz val="9"/>
            <rFont val="Tahoma"/>
            <family val="2"/>
          </rPr>
          <t>olloquie:</t>
        </r>
        <r>
          <rPr>
            <sz val="9"/>
            <rFont val="Tahoma"/>
            <family val="2"/>
          </rPr>
          <t xml:space="preserve">
This demand is assumed to only be fully achieved from year 2</t>
        </r>
      </text>
    </comment>
    <comment ref="C131" authorId="0">
      <text>
        <r>
          <rPr>
            <b/>
            <sz val="9"/>
            <rFont val="Tahoma"/>
            <family val="2"/>
          </rPr>
          <t>olloquie:</t>
        </r>
        <r>
          <rPr>
            <sz val="9"/>
            <rFont val="Tahoma"/>
            <family val="2"/>
          </rPr>
          <t xml:space="preserve">
Assumes non-domestic and domestic are in different floors in the building and not mixed in one same floor</t>
        </r>
      </text>
    </comment>
    <comment ref="F134" authorId="0">
      <text>
        <r>
          <rPr>
            <b/>
            <sz val="9"/>
            <rFont val="Tahoma"/>
            <family val="2"/>
          </rPr>
          <t>olloquie:</t>
        </r>
        <r>
          <rPr>
            <sz val="9"/>
            <rFont val="Tahoma"/>
            <family val="2"/>
          </rPr>
          <t xml:space="preserve">
Assumes non-domestic and domestic are in different floors in the building and not mixed in one same floor</t>
        </r>
      </text>
    </comment>
  </commentList>
</comments>
</file>

<file path=xl/sharedStrings.xml><?xml version="1.0" encoding="utf-8"?>
<sst xmlns="http://schemas.openxmlformats.org/spreadsheetml/2006/main" count="1022" uniqueCount="631">
  <si>
    <t>Existing metering strategy</t>
  </si>
  <si>
    <t>Non Domestic</t>
  </si>
  <si>
    <t>TM46</t>
  </si>
  <si>
    <t>Category</t>
  </si>
  <si>
    <t>Name</t>
  </si>
  <si>
    <t>Fossil-thermal typical benchmark (kWh/m2)</t>
  </si>
  <si>
    <t>General office</t>
  </si>
  <si>
    <t>High street agency</t>
  </si>
  <si>
    <t>General retail</t>
  </si>
  <si>
    <t>Large non-food shop</t>
  </si>
  <si>
    <t>Small food store</t>
  </si>
  <si>
    <t>Large food store</t>
  </si>
  <si>
    <t>Restaurant</t>
  </si>
  <si>
    <t>Bar, pub or licensed club</t>
  </si>
  <si>
    <t>Hotel</t>
  </si>
  <si>
    <t>Entertainment halls</t>
  </si>
  <si>
    <t>Swimming pool centre</t>
  </si>
  <si>
    <t>Fitness and health centre</t>
  </si>
  <si>
    <t>Dry sports and leisure facility</t>
  </si>
  <si>
    <t>Covered car park</t>
  </si>
  <si>
    <t>Public buildings with light usage</t>
  </si>
  <si>
    <t>Schools and seasonal public buildings</t>
  </si>
  <si>
    <t>University campus</t>
  </si>
  <si>
    <t>Clinic</t>
  </si>
  <si>
    <t>Hospital (clinical and research)</t>
  </si>
  <si>
    <t>Long term residential</t>
  </si>
  <si>
    <t>General accommodation</t>
  </si>
  <si>
    <t>Emergency services</t>
  </si>
  <si>
    <t>Laboratory or operating theatre</t>
  </si>
  <si>
    <t>Public waiting or circulation</t>
  </si>
  <si>
    <t>Terminal</t>
  </si>
  <si>
    <t>Workshop</t>
  </si>
  <si>
    <t>Storage facility</t>
  </si>
  <si>
    <t>Cold storage</t>
  </si>
  <si>
    <t>% fossil-termal pro-rated to degree days</t>
  </si>
  <si>
    <t>Degree Day regions</t>
  </si>
  <si>
    <t>Region</t>
  </si>
  <si>
    <t>West Pennines</t>
  </si>
  <si>
    <t>Borders</t>
  </si>
  <si>
    <t>East Pennines</t>
  </si>
  <si>
    <t>East Anglia</t>
  </si>
  <si>
    <t>Wales</t>
  </si>
  <si>
    <t>Difference %</t>
  </si>
  <si>
    <t>Electricity typical benchmark (kWh.m2)</t>
  </si>
  <si>
    <t>Reference</t>
  </si>
  <si>
    <t>Year</t>
  </si>
  <si>
    <t>% Saving</t>
  </si>
  <si>
    <t>Saving</t>
  </si>
  <si>
    <t>Gas price p/kWh</t>
  </si>
  <si>
    <t>£ annual saving</t>
  </si>
  <si>
    <t>Type of dwelling</t>
  </si>
  <si>
    <t>Lists</t>
  </si>
  <si>
    <t>Domestic</t>
  </si>
  <si>
    <t>Non-domestic</t>
  </si>
  <si>
    <t>Mixed</t>
  </si>
  <si>
    <t>Non-domestic building type</t>
  </si>
  <si>
    <t>Development Stage</t>
  </si>
  <si>
    <t>Building use</t>
  </si>
  <si>
    <t>Building Age</t>
  </si>
  <si>
    <t>Current year</t>
  </si>
  <si>
    <t>Building age ranges</t>
  </si>
  <si>
    <t>None</t>
  </si>
  <si>
    <t>Existing billing strategy</t>
  </si>
  <si>
    <t>Allocated</t>
  </si>
  <si>
    <t>Fixed price</t>
  </si>
  <si>
    <t>Standing charge plus variable adjustment</t>
  </si>
  <si>
    <t>Yes/No</t>
  </si>
  <si>
    <t>Yes</t>
  </si>
  <si>
    <t>No</t>
  </si>
  <si>
    <t>SAVINGS</t>
  </si>
  <si>
    <t>Domestic Building Types</t>
  </si>
  <si>
    <t>Space Heating</t>
  </si>
  <si>
    <t>Hot Water</t>
  </si>
  <si>
    <t>TOTAL</t>
  </si>
  <si>
    <t>Region Adjusted Electricity</t>
  </si>
  <si>
    <t>Region Adjusted Fossil-thermal</t>
  </si>
  <si>
    <t>Age of dwelling</t>
  </si>
  <si>
    <t>Number of dwellings</t>
  </si>
  <si>
    <t>Tables 4-8: Retail fuel prices</t>
  </si>
  <si>
    <t>Table 4 - Retail Electricity Prices (real 2013 p/kWh)</t>
  </si>
  <si>
    <t>Table 5 - Retail Gas Prices (real 2013 p/kWh)</t>
  </si>
  <si>
    <t>Table 6 - Retail Coal Prices (real 2013 p/kWh)</t>
  </si>
  <si>
    <t>Table 7 - Retail Oil Prices (real 2013 p/litre) Domestic = Burning oil, Commerical, Industry = Gas Oil</t>
  </si>
  <si>
    <t>Table 8 - Retail Road Fuel Prices (real 2013 p/litre)</t>
  </si>
  <si>
    <t>Low</t>
  </si>
  <si>
    <t>Central</t>
  </si>
  <si>
    <t>High</t>
  </si>
  <si>
    <t>Commercial/ Public sector</t>
  </si>
  <si>
    <t>Industrial</t>
  </si>
  <si>
    <t>Petrol (weighted average)</t>
  </si>
  <si>
    <t>DERV</t>
  </si>
  <si>
    <t xml:space="preserve">Notes: </t>
  </si>
  <si>
    <t xml:space="preserve">Note: </t>
  </si>
  <si>
    <t xml:space="preserve">  Non-domestic prices are inclusive of CCL</t>
  </si>
  <si>
    <t xml:space="preserve">  These prices are for road fuels with no biofuel blending</t>
  </si>
  <si>
    <r>
      <t xml:space="preserve">  </t>
    </r>
    <r>
      <rPr>
        <i/>
        <sz val="10"/>
        <rFont val="Arial"/>
        <family val="2"/>
      </rPr>
      <t xml:space="preserve">Petrol </t>
    </r>
    <r>
      <rPr>
        <sz val="10"/>
        <rFont val="Arial"/>
        <family val="2"/>
      </rPr>
      <t>comprises a weighted average of Super and Premium unleaded</t>
    </r>
  </si>
  <si>
    <r>
      <rPr>
        <b/>
        <sz val="10"/>
        <rFont val="Arial"/>
        <family val="2"/>
      </rPr>
      <t>Source:</t>
    </r>
    <r>
      <rPr>
        <sz val="10"/>
        <rFont val="Arial"/>
        <family val="2"/>
      </rPr>
      <t xml:space="preserve"> DECC and Department for Transport modelling</t>
    </r>
  </si>
  <si>
    <t>B_USE</t>
  </si>
  <si>
    <t>REGION</t>
  </si>
  <si>
    <t>NDB_TYPE</t>
  </si>
  <si>
    <t>STAGE</t>
  </si>
  <si>
    <t>MEDIUM</t>
  </si>
  <si>
    <t>DOM_AGE</t>
  </si>
  <si>
    <t>DOM_TYPE</t>
  </si>
  <si>
    <t>BILL_STRAT</t>
  </si>
  <si>
    <t>MTR_STRAT</t>
  </si>
  <si>
    <t>YN</t>
  </si>
  <si>
    <t>IAG Level</t>
  </si>
  <si>
    <t>IAG</t>
  </si>
  <si>
    <t>Gas prices from IAG data acts as an analogue of the heating costs from a DH network.</t>
  </si>
  <si>
    <t>VAT included to represent "real" prices, but interest and inflation are not included.</t>
  </si>
  <si>
    <t>New build</t>
  </si>
  <si>
    <t>Existing building</t>
  </si>
  <si>
    <t>Notes</t>
  </si>
  <si>
    <t>No metering within block</t>
  </si>
  <si>
    <t>Metering at block level</t>
  </si>
  <si>
    <t>Metering for some individual dwellings (domestic)</t>
  </si>
  <si>
    <t>Detached house</t>
  </si>
  <si>
    <t>Floor Area (m2)</t>
  </si>
  <si>
    <t>Questions</t>
  </si>
  <si>
    <t>Inputs</t>
  </si>
  <si>
    <t xml:space="preserve">What type of heat emitter is used? </t>
  </si>
  <si>
    <t>EMITTER</t>
  </si>
  <si>
    <t>Radiators</t>
  </si>
  <si>
    <t>Water based underfloor heating</t>
  </si>
  <si>
    <t>Heat Meter Viability</t>
  </si>
  <si>
    <t>Heat meters or HCAs may be viable</t>
  </si>
  <si>
    <t>METER_NO</t>
  </si>
  <si>
    <t>METER_YES</t>
  </si>
  <si>
    <t>METER_?</t>
  </si>
  <si>
    <t>LTHW</t>
  </si>
  <si>
    <t>ERROR</t>
  </si>
  <si>
    <t>HCA_YES</t>
  </si>
  <si>
    <t>How many individual dwellings are in the building?</t>
  </si>
  <si>
    <t>Revisit building use and/or number of non-domestic units</t>
  </si>
  <si>
    <t>CHECK_NONDOM</t>
  </si>
  <si>
    <t>Revisit building use and/or number of dwellings</t>
  </si>
  <si>
    <t>CHECK_DOM</t>
  </si>
  <si>
    <t>How many individual non-domestic tenancy areas / units are in the building?</t>
  </si>
  <si>
    <t>METER_YES2</t>
  </si>
  <si>
    <t>Total</t>
  </si>
  <si>
    <t>DWELL_NO</t>
  </si>
  <si>
    <t>Each detached house must be heat metered at building level</t>
  </si>
  <si>
    <t>DET_HOUSE</t>
  </si>
  <si>
    <t>No. of radiators (HCAs)</t>
  </si>
  <si>
    <t>Local warm air system</t>
  </si>
  <si>
    <t>SYSTEM CONFIGURATION</t>
  </si>
  <si>
    <t>Is there access to the pipework without the need to damage decoration or building fabric? e.g. cupboard access</t>
  </si>
  <si>
    <t>Domestic System Configurations</t>
  </si>
  <si>
    <t>DOM_SYS_CONFIG</t>
  </si>
  <si>
    <t>Single point of entry</t>
  </si>
  <si>
    <t>Multiple points of entry</t>
  </si>
  <si>
    <t>SP_ENTRY</t>
  </si>
  <si>
    <t>MP_ENTRY</t>
  </si>
  <si>
    <t>How is the heat distributed to individual dwellings from the central heat source?</t>
  </si>
  <si>
    <t>MEDIUM_NONDOM</t>
  </si>
  <si>
    <t>Domestic heat distribution method</t>
  </si>
  <si>
    <t>Non-domestic heat distribution method</t>
  </si>
  <si>
    <t>EMITTER_NONDOM</t>
  </si>
  <si>
    <t>Fan coil units</t>
  </si>
  <si>
    <t>Local warm air system/air conditioning</t>
  </si>
  <si>
    <t>Non-domestic heat emitter type</t>
  </si>
  <si>
    <t>Non-domestic cool emitter type</t>
  </si>
  <si>
    <t>COOL_EMITTER_NONDOM</t>
  </si>
  <si>
    <t>Air system air conditioning</t>
  </si>
  <si>
    <t>VRV/VRF split system</t>
  </si>
  <si>
    <t>Domestic heat emitter type</t>
  </si>
  <si>
    <t>Where is the building located?</t>
  </si>
  <si>
    <t>NONDOM_NO</t>
  </si>
  <si>
    <t>How is the heat distributed to individual non-domestic units from the central heat source?</t>
  </si>
  <si>
    <t>MIXED_USE</t>
  </si>
  <si>
    <t>For blocks with a mixed use of domestic and non-domestic areas please create a separate sub-zone for each</t>
  </si>
  <si>
    <t>SUMMARY OF BLOCKS AND UNITS</t>
  </si>
  <si>
    <t>No. of dwellings</t>
  </si>
  <si>
    <t>Total number of radiators for non-domestic units</t>
  </si>
  <si>
    <t>Non-domestic uses</t>
  </si>
  <si>
    <t>Average number of radiators per dwelling</t>
  </si>
  <si>
    <t>Are there isolation valves installed that will allow the dwelling to be isolated?</t>
  </si>
  <si>
    <t>INSTALLATION DETAILS</t>
  </si>
  <si>
    <t>How is fresh air supplied to the non-domestic units?</t>
  </si>
  <si>
    <t>Non-domestic ventilation systems</t>
  </si>
  <si>
    <t>VENT_NONDOM</t>
  </si>
  <si>
    <t>Unknown</t>
  </si>
  <si>
    <t>No. of non-domestic units or separate tenant areas</t>
  </si>
  <si>
    <t>Total No. of domestic radiators</t>
  </si>
  <si>
    <t>HCA_INSTALL</t>
  </si>
  <si>
    <t>Heat meters installed in each dwelling or non-domestic unit</t>
  </si>
  <si>
    <t>HCAs with water meters installed in each dwelling or non-domestic unit</t>
  </si>
  <si>
    <t>METER_INSTALL</t>
  </si>
  <si>
    <t>What is the type of hot water flow and return entry to each non-domestic unit or separate tenant area?</t>
  </si>
  <si>
    <t>What is the type of hot water flow and return entry to each dwelling?</t>
  </si>
  <si>
    <t>HCAs and water meter must be installed in units/dwellings with no metering or HCAs</t>
  </si>
  <si>
    <t>Are there isolation valves installed that will allow the non-domestic units or separate tenant areas to be isolated?</t>
  </si>
  <si>
    <t>Does the supply ventilation also provide heating to the non-domestic units or separate tenant areas?</t>
  </si>
  <si>
    <t>Non-domestic cooling distribution method</t>
  </si>
  <si>
    <t>COOL_MEDIUM_NONDOM</t>
  </si>
  <si>
    <t>REFRIGERANT</t>
  </si>
  <si>
    <t>Revisit and check number of dwellings entered</t>
  </si>
  <si>
    <t>Revisit and check number of non-domestic units entered</t>
  </si>
  <si>
    <t>Metering for some individual tenancy / unit areas (non domestic)</t>
  </si>
  <si>
    <t>Cultural activities</t>
  </si>
  <si>
    <t>Is the accessible pipe at least 13 pipe diameters in length plus 250mm?</t>
  </si>
  <si>
    <t>Error comments</t>
  </si>
  <si>
    <t>OUTPUT FROM CBA</t>
  </si>
  <si>
    <t>COST BENEFIT ANALYSIS</t>
  </si>
  <si>
    <t>Number of each type</t>
  </si>
  <si>
    <t>DWELLING NUMBERS</t>
  </si>
  <si>
    <t>NON-DOMESTIC NUMBERS</t>
  </si>
  <si>
    <t>Error if cost effectiveness results do not tie up</t>
  </si>
  <si>
    <t>COST_ERROR</t>
  </si>
  <si>
    <t>Building year of construction</t>
  </si>
  <si>
    <t>Building location</t>
  </si>
  <si>
    <t>HM installed in dwellings</t>
  </si>
  <si>
    <t>HM installed in non-dwellings</t>
  </si>
  <si>
    <t>Heat meters must be installed in all units/dwellings with no metering or HCAs during major refurbishment</t>
  </si>
  <si>
    <t>HCA installed in non-dwellings</t>
  </si>
  <si>
    <t>Heat Meters</t>
  </si>
  <si>
    <t>Capital cost of meter / £</t>
  </si>
  <si>
    <t>Capital cost of data gathering equipment / £</t>
  </si>
  <si>
    <t>Operational cost of meter / £ year</t>
  </si>
  <si>
    <t>Heat Cost Allocators</t>
  </si>
  <si>
    <t>Heat Meter</t>
  </si>
  <si>
    <t>Cost of meter</t>
  </si>
  <si>
    <t>Cost of data gathering equipment</t>
  </si>
  <si>
    <t>Installation Cost</t>
  </si>
  <si>
    <t>Operational costs / £ year</t>
  </si>
  <si>
    <t>NPV</t>
  </si>
  <si>
    <t>Installation Scenario</t>
  </si>
  <si>
    <t>INST_SCEN</t>
  </si>
  <si>
    <t>Medium</t>
  </si>
  <si>
    <t>Yes/No/Unknown</t>
  </si>
  <si>
    <t>YNU</t>
  </si>
  <si>
    <t>DHW_SOURCE</t>
  </si>
  <si>
    <t>From local electric or gas heaters</t>
  </si>
  <si>
    <t>From what source is the DHW provided for each dwelling?</t>
  </si>
  <si>
    <t>From what source is the DHW provided for each non-domestic unit?</t>
  </si>
  <si>
    <t>Capital cost of data gathering equipment and block commissioning / £</t>
  </si>
  <si>
    <t>Version</t>
  </si>
  <si>
    <t>Prepared by</t>
  </si>
  <si>
    <t>Checked by</t>
  </si>
  <si>
    <t>Authorised by</t>
  </si>
  <si>
    <t>Date</t>
  </si>
  <si>
    <t>Change log</t>
  </si>
  <si>
    <t>v1g</t>
  </si>
  <si>
    <t>Matthew Smalley</t>
  </si>
  <si>
    <t>Guide F</t>
  </si>
  <si>
    <t>Controls</t>
  </si>
  <si>
    <t>CONTROLS</t>
  </si>
  <si>
    <t>Time and Temperature</t>
  </si>
  <si>
    <t>Time or Temperature only</t>
  </si>
  <si>
    <t>A</t>
  </si>
  <si>
    <t>B</t>
  </si>
  <si>
    <t>C</t>
  </si>
  <si>
    <t>D</t>
  </si>
  <si>
    <t>E</t>
  </si>
  <si>
    <t>Number of Units</t>
  </si>
  <si>
    <t>Activity (or closest activity to)</t>
  </si>
  <si>
    <t>Total Gross Internal Area (m2)</t>
  </si>
  <si>
    <t>NON DOMESTIC DETAILS</t>
  </si>
  <si>
    <t>Dwelling Type</t>
  </si>
  <si>
    <t>Network Efficiency</t>
  </si>
  <si>
    <t>Boiler Efficiency</t>
  </si>
  <si>
    <t>Network/boiler losses correction</t>
  </si>
  <si>
    <t>Control comments</t>
  </si>
  <si>
    <t>INST_CONT</t>
  </si>
  <si>
    <t>INST_CONT2</t>
  </si>
  <si>
    <t>INST_NOWT</t>
  </si>
  <si>
    <t>You can install additional controls in order to allow occupants to better reduce their heat usage, through either TRVs or Thermostats. These costs are not included in the model, as this is considered good practice regardless of metering.</t>
  </si>
  <si>
    <t>Appropriate controls are present.</t>
  </si>
  <si>
    <t>Added "Instructions", "QA" and "Tool" tabs
Updated cost data
Modified savings rate based on presence of controls - 30% no controls, 20% time or temp, 10% both
Reviewed W/m2 figure
Reflected lower savings for non-dom - 10% assumed
Fixed DWH for domestic to exclude if not attached to the heat network
Started to work on the Interface for the trial tool - for testing
Included network and boiler losses in the potential fuel savings
Linked tool to front end, with exception of non-dom areas
Entered "IFERROR" functions to allow logic to continue with blank cells, defaulting to zero.
Added in inputs for differently sized flats
Added logic such that viability message only appears once all requisite fields are entered.
Added message regarding control selection on "Tool"</t>
  </si>
  <si>
    <t>Back to Domestic Inputs</t>
  </si>
  <si>
    <t>Back to Non-domestic Inputs</t>
  </si>
  <si>
    <t>v1h</t>
  </si>
  <si>
    <t>If flats, how many storeys?</t>
  </si>
  <si>
    <t>Annual heat demand (kWh)</t>
  </si>
  <si>
    <t>Water meter / £</t>
  </si>
  <si>
    <t>Unknown Warning</t>
  </si>
  <si>
    <t>UNK</t>
  </si>
  <si>
    <t>Corrected gas price used for domestic savings calculation - as network fuel savings mattering, commercial price should be used
Added in option in tool to state number of blocks, and number of storeys
Added non-domestic table, and ensured that it was functional
User fuel input added
Updated costs of HCAs
Unknown caveat entered in tool</t>
  </si>
  <si>
    <t>v1i</t>
  </si>
  <si>
    <t>Building age</t>
  </si>
  <si>
    <t>Capital Cost / £</t>
  </si>
  <si>
    <t>TRV cost per radiator / £</t>
  </si>
  <si>
    <t>Capital cost of allocator and installation / £</t>
  </si>
  <si>
    <t>Installation</t>
  </si>
  <si>
    <t>Access</t>
  </si>
  <si>
    <t>Pipes / Isolation</t>
  </si>
  <si>
    <t>Electricity</t>
  </si>
  <si>
    <t>Basic cost / £</t>
  </si>
  <si>
    <t>Factors</t>
  </si>
  <si>
    <t>Number of storeys</t>
  </si>
  <si>
    <t>Fully implemented latest cost data
Introduced question re: electricity points
Average number of flats per floor calculated
Added flags to limit combinations of dwellings able to be entered</t>
  </si>
  <si>
    <t>From a central system separate from the heating supply</t>
  </si>
  <si>
    <t>&lt;&lt;Note: if separate to heating system +1 water meter; if local heating do not include but assume DHW already metered and therefore use reduced energy demand but don't include saving</t>
  </si>
  <si>
    <t>HEATING SYSTEM</t>
  </si>
  <si>
    <t>COOLING SYSTEM</t>
  </si>
  <si>
    <t>DHW SYSTEM</t>
  </si>
  <si>
    <t>Are the non-domestic units served by a communal cooling system?</t>
  </si>
  <si>
    <t>How is cooling distributed to individual non-domestic units from the central heat rejection plant?</t>
  </si>
  <si>
    <t>CHILLED</t>
  </si>
  <si>
    <t>COOL_METER_YES</t>
  </si>
  <si>
    <t>COOL_METER_NO</t>
  </si>
  <si>
    <t>Radiant ceiling</t>
  </si>
  <si>
    <t>Chilled beams</t>
  </si>
  <si>
    <t>COOL_AIR</t>
  </si>
  <si>
    <t>COOL_VRF</t>
  </si>
  <si>
    <t>Does the supply ventilation also provide cooling to the non-domestic units or separate tenant areas?</t>
  </si>
  <si>
    <t>Heat meter viability flag</t>
  </si>
  <si>
    <t>Cool meter viability flag</t>
  </si>
  <si>
    <t>INSTALLATION DETAILS: HEATING, COOLING &amp; DHW</t>
  </si>
  <si>
    <t>INSTALLATION DETAILS: HEATING &amp; DHW</t>
  </si>
  <si>
    <t>Non-domestic DHW System</t>
  </si>
  <si>
    <t>This tool alows users to evaluate the technical and financial viability of implementing heat meters and HCAs in existing heat networks.</t>
  </si>
  <si>
    <t>GENERAL INFORMATION</t>
  </si>
  <si>
    <t>MANDATORY FIELDS (RED)
Data must be provided</t>
  </si>
  <si>
    <t>RESULTS</t>
  </si>
  <si>
    <t>Heating</t>
  </si>
  <si>
    <t>Annual cooling demand (kWh)</t>
  </si>
  <si>
    <t>Cooling benchmark (kWh/m2)</t>
  </si>
  <si>
    <t>Source: CIBSE F</t>
  </si>
  <si>
    <t>ECON19 (2003)
Benchmark for prestige office (mixed use) 
14 for standard office only building and 21 for prestige
Good Practice</t>
  </si>
  <si>
    <t>V2a</t>
  </si>
  <si>
    <t>Elena Olloqui</t>
  </si>
  <si>
    <t>Cooling added by Alex Duckworth;
Cooling banchmarks and calculations added;
Corrections and updates from feedback EO review applied</t>
  </si>
  <si>
    <t>DOMESTIC EVALUATION</t>
  </si>
  <si>
    <t>Total annual heat demand kWh</t>
  </si>
  <si>
    <t>Post implementation annual heat demand</t>
  </si>
  <si>
    <t>% estimated energy saving</t>
  </si>
  <si>
    <t>Pre implementation annual heat demand</t>
  </si>
  <si>
    <t>Annual kWh savings</t>
  </si>
  <si>
    <t>Cost of gas</t>
  </si>
  <si>
    <t>Number of blocks</t>
  </si>
  <si>
    <t>Avg flats per storey</t>
  </si>
  <si>
    <t>Number of dwellings/flats</t>
  </si>
  <si>
    <t>Would there be any issues with arranging access to the property and to the areas for fitting the meters?</t>
  </si>
  <si>
    <t>Commissioning</t>
  </si>
  <si>
    <t>Software set up</t>
  </si>
  <si>
    <t>Per block, per floor:</t>
  </si>
  <si>
    <t>Data controller</t>
  </si>
  <si>
    <t>Total Cost of data gathering and commissioning:</t>
  </si>
  <si>
    <t>N. required</t>
  </si>
  <si>
    <t>Receivers</t>
  </si>
  <si>
    <t>Avg per dwelling</t>
  </si>
  <si>
    <t>Cost of meters per dwelling:</t>
  </si>
  <si>
    <t>Annual operational cost</t>
  </si>
  <si>
    <t>Capex</t>
  </si>
  <si>
    <t>£ annual cost</t>
  </si>
  <si>
    <t>Net annual revenue</t>
  </si>
  <si>
    <t>Discount factor</t>
  </si>
  <si>
    <t>Discounted value</t>
  </si>
  <si>
    <t>Lifecycle year</t>
  </si>
  <si>
    <t>COSTS FOR HEAT METERS</t>
  </si>
  <si>
    <t>COSTS FOR HCAs</t>
  </si>
  <si>
    <t>Back to General Information</t>
  </si>
  <si>
    <t>Avg n. radiators per dwelling</t>
  </si>
  <si>
    <t>Cost of HCAs per dwelling</t>
  </si>
  <si>
    <t>Cost of HCA installed</t>
  </si>
  <si>
    <t>same as fror HMs</t>
  </si>
  <si>
    <t>Cost of installed water meter</t>
  </si>
  <si>
    <t>NON DOMESTIC EVALUATION</t>
  </si>
  <si>
    <t>HEAT METERS - DOMESTIC</t>
  </si>
  <si>
    <t>HCAs - DOMESTIC</t>
  </si>
  <si>
    <t>Cost of meters per UNIT:</t>
  </si>
  <si>
    <t>How many storeys does the building contain?</t>
  </si>
  <si>
    <t>Number of billing units</t>
  </si>
  <si>
    <t>Avg billing units per storey</t>
  </si>
  <si>
    <t>Average number of radiators for each non-domestic unit</t>
  </si>
  <si>
    <t>The worst installation cost value will be applied.</t>
  </si>
  <si>
    <t>Avg per unit</t>
  </si>
  <si>
    <t>HEAT METERS - NON DOMESTIC</t>
  </si>
  <si>
    <t>Cost of HCAs per unit</t>
  </si>
  <si>
    <t>HCAs - NON DOMESTIC</t>
  </si>
  <si>
    <t>COOLING METERS - NON DOMESTIC</t>
  </si>
  <si>
    <t xml:space="preserve">SAVINGS </t>
  </si>
  <si>
    <t>Annual kWh heating savings</t>
  </si>
  <si>
    <t>Post implementation annual cooling demand</t>
  </si>
  <si>
    <t>Pre implementation annual cool.ing demand</t>
  </si>
  <si>
    <t>Annual kWh cooling savings</t>
  </si>
  <si>
    <t>£ annual heating saving</t>
  </si>
  <si>
    <t>£ annual cooling saving</t>
  </si>
  <si>
    <t>There are problems with the data provided or missing data. Please review the data input and mandatory fields.</t>
  </si>
  <si>
    <t>Controls to allow ocupants to adjust thier heat usage should be installed via TRVs or Thermostats. The cost for these is not included in the viability evaluation as this is considered good practice regardless of metering.</t>
  </si>
  <si>
    <t>NPV calculations</t>
  </si>
  <si>
    <t>HEATING</t>
  </si>
  <si>
    <t>NOT_REQ</t>
  </si>
  <si>
    <t>Technical and Financial Viability Testing of Individual Heat and Cooling Metering and HCAs</t>
  </si>
  <si>
    <t>V2b</t>
  </si>
  <si>
    <t>Update cost of receivers for non flat blocks (assume they are not required);
Cost of heat meters for non domestic updated.</t>
  </si>
  <si>
    <t>V2c</t>
  </si>
  <si>
    <t>85% is assumption made for counterfactual in the DECC Heat Networks study</t>
  </si>
  <si>
    <t>TECHNICAL VIABILITY</t>
  </si>
  <si>
    <t>Building(s) name/identification</t>
  </si>
  <si>
    <t>NON_VIABLE</t>
  </si>
  <si>
    <t>Evaluation of viability has been determined. You do not need to fill in any other information. Check the RESULTS tab.</t>
  </si>
  <si>
    <t>DOMESTIC DETAILS</t>
  </si>
  <si>
    <t>GI count</t>
  </si>
  <si>
    <t>GI_ERROR</t>
  </si>
  <si>
    <t>There is data missing in the GENERAL INFORMATION section. Please review and complete the information required.</t>
  </si>
  <si>
    <t>Technical1</t>
  </si>
  <si>
    <t>COOLING_NA</t>
  </si>
  <si>
    <t>Not applicable - cooling viability is only evaluated for non domestic buildings and when communal cooling system available</t>
  </si>
  <si>
    <t>There is data missing in the TECHNICAL VIABILITY section. Please review and complete the information required.</t>
  </si>
  <si>
    <t>Technical2</t>
  </si>
  <si>
    <t>REFURB_NOTE</t>
  </si>
  <si>
    <t>DHW_USES</t>
  </si>
  <si>
    <t>Tenants' spaces</t>
  </si>
  <si>
    <t>Landlord's space</t>
  </si>
  <si>
    <t>Weather adjusted heat demand selected</t>
  </si>
  <si>
    <t>Are there TRVs present?</t>
  </si>
  <si>
    <t>per radiator</t>
  </si>
  <si>
    <t>TRVs (installed)</t>
  </si>
  <si>
    <t>Are Heat Cost Allocators present?</t>
  </si>
  <si>
    <t>HCA_NOTE</t>
  </si>
  <si>
    <t>DomData</t>
  </si>
  <si>
    <t>DATA_MISSING</t>
  </si>
  <si>
    <t>There is data missing. Please review and complete the information required.</t>
  </si>
  <si>
    <t>HCA_NO</t>
  </si>
  <si>
    <t>LEGAL_NOTE</t>
  </si>
  <si>
    <t>Heating HCA flag</t>
  </si>
  <si>
    <t>What is the type of CHILLED water flow and return entry to each non-domestic unit or separate tenant area?</t>
  </si>
  <si>
    <t>Cooling checks updated
Review of level of lossess
Actions from feedback received from DECC on meeting 09/06/14</t>
  </si>
  <si>
    <t>From the most basic, at a cost of about £30, could get volume discounts. Need to add installation. Assume one per dwelling.</t>
  </si>
  <si>
    <t>HEAT METERS - DOMESTIC with controls</t>
  </si>
  <si>
    <t>HCAs - DOMESTIC with controls</t>
  </si>
  <si>
    <t>Cost per dwelling</t>
  </si>
  <si>
    <t>Assumption of about £50 per dwelling for a basic device installed at same time as Heat Meter or HCA.</t>
  </si>
  <si>
    <t>Time and Temperature controls</t>
  </si>
  <si>
    <t>This cost could be between a few hundred and up to £2,000-£2,500 or so, therefore we take an average but may be very different for the specific block/s evaluated.</t>
  </si>
  <si>
    <t>V2d</t>
  </si>
  <si>
    <t>DOMESTIC</t>
  </si>
  <si>
    <t>NON DOMESTIC</t>
  </si>
  <si>
    <t>Cooling</t>
  </si>
  <si>
    <t>NonDomData</t>
  </si>
  <si>
    <t>CoolData</t>
  </si>
  <si>
    <t>MIXED</t>
  </si>
  <si>
    <t>Other</t>
  </si>
  <si>
    <t>Heat meters are NOT viable on an average building(s) of this type</t>
  </si>
  <si>
    <t>MIXED EVALUATION</t>
  </si>
  <si>
    <t>Average Cost of meters per DWELLING/UNIT:</t>
  </si>
  <si>
    <t>Cost of meter-domestic</t>
  </si>
  <si>
    <t>Cost of meter-non domestic</t>
  </si>
  <si>
    <t>Number of billing units/dwellings</t>
  </si>
  <si>
    <t>Installation Cost - domestic</t>
  </si>
  <si>
    <t>Installation Cost - non domestic</t>
  </si>
  <si>
    <t>HEAT METERS - MIXED</t>
  </si>
  <si>
    <t>HCAs - MIXED</t>
  </si>
  <si>
    <t>Simplify user navigation code
Update and complete treatment of Mixed use</t>
  </si>
  <si>
    <t>General office, public waiting or circulation areas</t>
  </si>
  <si>
    <t>Large food store and Public buildings with light usage</t>
  </si>
  <si>
    <t>Cultural activities, Clinics and Terminals</t>
  </si>
  <si>
    <t>Entertainment halls, Hospital (clinical and research) and Long Term Residential buildings</t>
  </si>
  <si>
    <t>V2e</t>
  </si>
  <si>
    <t>V2f</t>
  </si>
  <si>
    <t>If no flats, it is not required to enter number of storeys</t>
  </si>
  <si>
    <t>PLEASE ENSURE YOU CLEAR THE FORM FOR ANY NEW ASSESSMENTS</t>
  </si>
  <si>
    <t>V3a</t>
  </si>
  <si>
    <t>Natural or Local Mechanical ventilation</t>
  </si>
  <si>
    <t>Communal/Central Mechanical ventilation</t>
  </si>
  <si>
    <t>maximum cost about £7,500 per collector for up to 250 dwellings</t>
  </si>
  <si>
    <t>1 receiver per 2 floors</t>
  </si>
  <si>
    <t>Up to 4 dwellings</t>
  </si>
  <si>
    <t>2 receiver per 2 floors</t>
  </si>
  <si>
    <t>9+ dwellings</t>
  </si>
  <si>
    <t>5 - 8 dwellings</t>
  </si>
  <si>
    <t>3 receiver per 2 floors</t>
  </si>
  <si>
    <t>Assumption is no receivers are required for detached, semidetached or terraced configurations.</t>
  </si>
  <si>
    <t>In which region is the building located?</t>
  </si>
  <si>
    <t>Weather corrected</t>
  </si>
  <si>
    <t>Not given in TM46 - therefore approximated to Borders region</t>
  </si>
  <si>
    <t>Operational cost per dwelling / £ year</t>
  </si>
  <si>
    <t>How many individual dwellings are there in ALL the buildings?</t>
  </si>
  <si>
    <t>How many individual non-domestic tenancy areas / units are there in ALL the buildings?</t>
  </si>
  <si>
    <t>Change to labels for Natural Ventilation and Mechanical Ventilation for increase precision.
Correction to data requirements for non domestic details.
Change behaviour for hot water allocation to heat demand for non domestic - see specification
Update commissioning and receivers costs and cost allocation assumptions
DECC - Add clear form button, change text B11
DECC - Change text B11 and add weather correction for domestic
DECC - Change text B14 (block to building); building identifier cell to be mandatory; update text B15/B16; update text B22 (Non-Domestic)
DECC - Clarification of LTHW for C20 and C22</t>
  </si>
  <si>
    <t>Chilled water</t>
  </si>
  <si>
    <t>How many separate buildings are being evaluated?</t>
  </si>
  <si>
    <t>Meters for cooling system are viable on an average building(s) of this type</t>
  </si>
  <si>
    <t>Meters for cooling system are NOT viable on an average building(s) of this type</t>
  </si>
  <si>
    <t>Low temperature hot water (LTHW: typically below 90 degrees C)</t>
  </si>
  <si>
    <t>Centralised Air Conditioning</t>
  </si>
  <si>
    <t>What is the type of heating flow and return entry to each dwelling?</t>
  </si>
  <si>
    <t>What is the type of heating flow and return entry to each non-domestic unit or separate tenant area?</t>
  </si>
  <si>
    <t>From what source is the domestic hot water provided for each dwelling?</t>
  </si>
  <si>
    <t>Are main uses of domestic hot water in landlord space or within the tenant's space?</t>
  </si>
  <si>
    <t>Are there any heating system time controls that the occupants can adjust?</t>
  </si>
  <si>
    <t>Are there temperature controls on the heating system that the occupant can adjust, other than Thermostatic Radiator Valves (TRVs)?</t>
  </si>
  <si>
    <t>From what source is the domestic hot water provided for each non-domestic unit?</t>
  </si>
  <si>
    <t>Correction to cost for meter for non domestic following final cost review
Correction to make domestic hot water include/exclude as per information from user.</t>
  </si>
  <si>
    <t>TECHDATA_MISSING</t>
  </si>
  <si>
    <t>Heat meters are viable on an average building(s) of this type</t>
  </si>
  <si>
    <t>Cost of additional heat meter for DHW</t>
  </si>
  <si>
    <t>From a separate connection to the same heat network as the space heating system</t>
  </si>
  <si>
    <t>From the same heat network connection as the space heating system</t>
  </si>
  <si>
    <t xml:space="preserve">DECC - Clarification of Chilled water in B25
DECC - Clarification of Air Conditioning to Centralised Air Conditioning; correction of rules
DECC - Label changes B60, B107, B62, B109, B63, B110, B64, B111, B108, B71, B118
DECC - Change non domestic error/warning message
DECC - Internal list rename (COOLDATA_MISSING); change text for METER_YES
DECC - Controller hide rows not used
DECC - updates to treatment and rules of DHW heat demand allocation and water meter or other additional heat meters for DHW.
Approximation used for regions with no weather correction factors.
</t>
  </si>
  <si>
    <t>DECC - £0 operational costs in year 0 - calculation updated
DECC - 0 savings in year 0 - calculation updated</t>
  </si>
  <si>
    <t>from</t>
  </si>
  <si>
    <t>rate</t>
  </si>
  <si>
    <t>V3b (testing issue)</t>
  </si>
  <si>
    <t>Technical and Financial Viability Testing Tool
Instructions</t>
  </si>
  <si>
    <t>This tool allows users to evaluate the technical and financial viability of implementing heat or cooling meters and HCAs in existing buildings which are fed by heating or cooling networks and community schemes. This tool is to be used by any organisation responsible for delivering heating or cooling to dwellings or non-domestic units.</t>
  </si>
  <si>
    <t>TOOL FUNCTION</t>
  </si>
  <si>
    <r>
      <t xml:space="preserve">For further guidance, please refer to the </t>
    </r>
    <r>
      <rPr>
        <b/>
        <sz val="10"/>
        <color indexed="9"/>
        <rFont val="Arial"/>
        <family val="2"/>
      </rPr>
      <t>Heat Metering Tool User Guide</t>
    </r>
  </si>
  <si>
    <t>USER INTERFACE</t>
  </si>
  <si>
    <r>
      <t xml:space="preserve">The tool is designed to evaluate the following configurations:
• One or more blocks of flats, all of identical topology and system configuration
• One or more detached dwellings, all of identical topology and system configuration
• One or more semi-detached dwellings, all of identical topology and system configuration
• One or more terraced blocks, all of identical topology and system configuration
• Non domestic buildings with tenants/units served by heat/cooling networks. 
• Mixed use buildings where all flats and non domestic units are served by the same system configuration.
This tool is </t>
    </r>
    <r>
      <rPr>
        <u val="single"/>
        <sz val="10"/>
        <rFont val="Arial"/>
        <family val="2"/>
      </rPr>
      <t>not</t>
    </r>
    <r>
      <rPr>
        <sz val="10"/>
        <rFont val="Arial"/>
        <family val="2"/>
      </rPr>
      <t xml:space="preserve"> suitable for any other configuration and different blocks will need to be entered separately if they do not have identical topologies and HVAC system configurations.</t>
    </r>
  </si>
  <si>
    <r>
      <t xml:space="preserve">Data is input into the “User Interface” tab, and results are output in the “Results” tab. The “User Interface” tab is split into sections:
• General Information
</t>
    </r>
    <r>
      <rPr>
        <i/>
        <sz val="10"/>
        <rFont val="Arial"/>
        <family val="2"/>
      </rPr>
      <t>This section is where basic information concerning the building, its age, location, and occupants is recorded.</t>
    </r>
    <r>
      <rPr>
        <sz val="10"/>
        <rFont val="Arial"/>
        <family val="2"/>
      </rPr>
      <t xml:space="preserve"> 
• Technical viability
</t>
    </r>
    <r>
      <rPr>
        <i/>
        <sz val="10"/>
        <rFont val="Arial"/>
        <family val="2"/>
      </rPr>
      <t xml:space="preserve">Basic information on system configuration is required to provide a quick evaluation of technical viability. When the system is deemed to be not technically viable at this stage, the user is informed and no additional information is required. For non domestic buildings, applicability and technical viability of cooling meters is also assessed here. </t>
    </r>
    <r>
      <rPr>
        <sz val="10"/>
        <rFont val="Arial"/>
        <family val="2"/>
      </rPr>
      <t xml:space="preserve">
• Domestic Details
</t>
    </r>
    <r>
      <rPr>
        <i/>
        <sz val="10"/>
        <rFont val="Arial"/>
        <family val="2"/>
      </rPr>
      <t>If the block contains dwellings, information regarding the number and types of domestic unit is entered here, as well as details which will affect the costs of any installation or technology used.</t>
    </r>
    <r>
      <rPr>
        <sz val="10"/>
        <rFont val="Arial"/>
        <family val="2"/>
      </rPr>
      <t xml:space="preserve">
• Non-domestic Details
</t>
    </r>
    <r>
      <rPr>
        <i/>
        <sz val="10"/>
        <rFont val="Arial"/>
        <family val="2"/>
      </rPr>
      <t>If the block contains non-domestic units/tenants, information regarding the number, area and types of non-domestic units is required, as well as details which affect the costs of any installation or technology used.</t>
    </r>
    <r>
      <rPr>
        <sz val="10"/>
        <rFont val="Arial"/>
        <family val="2"/>
      </rPr>
      <t xml:space="preserve">
The tool highlights data which is required via a “MANDATORY FIELD” flag displayed in red to the right. Other fields which are not needed for a given building are ‘greyed out’. Once all the required input fields are completed, the results of the viability test are displayed in the “Results” tab. </t>
    </r>
    <r>
      <rPr>
        <b/>
        <sz val="10"/>
        <rFont val="Arial"/>
        <family val="2"/>
      </rPr>
      <t>Please note that a final evaluation is not produced until all required data are entered.</t>
    </r>
    <r>
      <rPr>
        <sz val="10"/>
        <rFont val="Arial"/>
        <family val="2"/>
      </rPr>
      <t xml:space="preserve">
Some data is only to be provided by selecting from drop down options. To do this, click in the field/cell. An arrow will then be shown. Clicking on this provides the user with the options available for selection.</t>
    </r>
  </si>
  <si>
    <t>Peter Concannon</t>
  </si>
  <si>
    <t>Peter Concannon/Alex Duckworth</t>
  </si>
  <si>
    <t>Alex Duckworth/Elena Olloqui</t>
  </si>
  <si>
    <t>Changes for draft issue for testing
Added summary text to instructions tab.
Hidden all tabs not required for testing. Remaining visible: Instruction, User Interface, Results and Feedback
Change following in Costs tab: C6 and C47 removed external link £60 fixed
Fixed bottom quicklinks when locked function on user interface tab
Format and colour coordination update
worksheets and workbook locked.
Correct typos found in instructions tab "or" to "of" and "domestic" to "non-domestic"
Date due changed to 17th July</t>
  </si>
  <si>
    <t>V3b (DECC issue)</t>
  </si>
  <si>
    <t>Alex Duckworth</t>
  </si>
  <si>
    <t>Passwords removed and tabs unhidden.</t>
  </si>
  <si>
    <t>V4a</t>
  </si>
  <si>
    <t>Andrew Cripps</t>
  </si>
  <si>
    <t>Sarah Doyle (DECC)/Andrew Cripps</t>
  </si>
  <si>
    <t>Pre 1917</t>
  </si>
  <si>
    <t>1918 to 1938</t>
  </si>
  <si>
    <t>1939 to 1959</t>
  </si>
  <si>
    <t>1960 to 1975</t>
  </si>
  <si>
    <t>1976 to 1982</t>
  </si>
  <si>
    <t>1983 to 1989</t>
  </si>
  <si>
    <t>1990 to 1999</t>
  </si>
  <si>
    <t>Post 2000</t>
  </si>
  <si>
    <t>Flat</t>
  </si>
  <si>
    <t>Benchmark Total</t>
  </si>
  <si>
    <t>Benchmark space heating</t>
  </si>
  <si>
    <t>Demand (kWh/yr)</t>
  </si>
  <si>
    <t>Propotion of total</t>
  </si>
  <si>
    <t>Actual space heating</t>
  </si>
  <si>
    <t>Actual demand reported</t>
  </si>
  <si>
    <t>Actual hot water</t>
  </si>
  <si>
    <t>Space heating</t>
  </si>
  <si>
    <t>Semi detached house (end terrace)</t>
  </si>
  <si>
    <t>Terraced house</t>
  </si>
  <si>
    <t>Number of dwelling type</t>
  </si>
  <si>
    <t>Domestic DHW System</t>
  </si>
  <si>
    <t>HCAs installed?</t>
  </si>
  <si>
    <t>No. of separate buildings</t>
  </si>
  <si>
    <t>Assessment name</t>
  </si>
  <si>
    <t>COMMON INPUT</t>
  </si>
  <si>
    <t>DOMESTIC INPUT</t>
  </si>
  <si>
    <t>NON-DOMESTIC INPUT</t>
  </si>
  <si>
    <t>NPV Discount Rate</t>
  </si>
  <si>
    <t>HCAs are NOT viable for individual units/dwellings</t>
  </si>
  <si>
    <t>HCA_READY</t>
  </si>
  <si>
    <t>HCAs already installed. Reinstall not required.</t>
  </si>
  <si>
    <t>Your building(s) is/are deemed technically and financially viable under standard circumstances for Heat Meters or HCAs. If there are plans for refurbishment or demolition, please consult the NMO for further advice on whether and how implementation should proceed.</t>
  </si>
  <si>
    <t>&gt; DOMESTIC Heat meter viability</t>
  </si>
  <si>
    <t>&gt; DOMESTIC HCAs viability</t>
  </si>
  <si>
    <t>&gt; NON DOMESTIC Heat meter viability</t>
  </si>
  <si>
    <t>&gt; NON DOMESTIC HCAs viability</t>
  </si>
  <si>
    <t>&gt; Heat meters for cooling viability</t>
  </si>
  <si>
    <t>&gt; MIXED use heat meters viability</t>
  </si>
  <si>
    <t>&gt; MIXED use HCAs viability</t>
  </si>
  <si>
    <t>Is there access to a straight 600mm length of pipe in order to fit a heat meter in accordance with latest best practice guidance?</t>
  </si>
  <si>
    <t>Energy and costs</t>
  </si>
  <si>
    <t>kWh/year</t>
  </si>
  <si>
    <t>Total benchmark annual energy saving</t>
  </si>
  <si>
    <t>Total annual cost saving</t>
  </si>
  <si>
    <t>Total annual operation costs</t>
  </si>
  <si>
    <t>Total capital investment cost</t>
  </si>
  <si>
    <t>10 year Net Present Value</t>
  </si>
  <si>
    <t>TOTAL HCA adjustment</t>
  </si>
  <si>
    <r>
      <t xml:space="preserve">To use this tool, please read the accompanying User Guide. You can evaluate the viability of </t>
    </r>
    <r>
      <rPr>
        <sz val="10"/>
        <color indexed="53"/>
        <rFont val="Arial"/>
        <family val="2"/>
      </rPr>
      <t>either one of the following</t>
    </r>
    <r>
      <rPr>
        <sz val="10"/>
        <color indexed="24"/>
        <rFont val="Arial"/>
        <family val="2"/>
      </rPr>
      <t xml:space="preserve"> at any one time:
* One or more blocks of flats, when they are all identical in topology and system configuration;
* One or more detached dwellings, when they are all identical in topology and system configuration;
* One or more semi-detached dwellings, when they are all identical in topology and system configuration;
* or one or more terrace house blocks, when they are all identical in topology and system configuration.
</t>
    </r>
    <r>
      <rPr>
        <i/>
        <sz val="10"/>
        <color indexed="24"/>
        <rFont val="Arial"/>
        <family val="2"/>
      </rPr>
      <t>Topology: number, type and location of all flats in the building</t>
    </r>
  </si>
  <si>
    <r>
      <rPr>
        <b/>
        <sz val="9"/>
        <rFont val="Arial"/>
        <family val="2"/>
      </rPr>
      <t>DOMESTIC</t>
    </r>
    <r>
      <rPr>
        <sz val="9"/>
        <rFont val="Arial"/>
        <family val="2"/>
      </rPr>
      <t xml:space="preserve">
How is the heating distributed to individual dwellings from the central heat source?</t>
    </r>
  </si>
  <si>
    <r>
      <rPr>
        <b/>
        <sz val="9"/>
        <rFont val="Arial"/>
        <family val="2"/>
      </rPr>
      <t>NON DOMESTIC</t>
    </r>
    <r>
      <rPr>
        <sz val="9"/>
        <rFont val="Arial"/>
        <family val="2"/>
      </rPr>
      <t xml:space="preserve">
How is the heating distributed to individual units/tenants from the central heat source?</t>
    </r>
  </si>
  <si>
    <r>
      <t xml:space="preserve">NON DOMESTIC
</t>
    </r>
    <r>
      <rPr>
        <sz val="9"/>
        <rFont val="Arial"/>
        <family val="2"/>
      </rPr>
      <t>Are the non-domestic units served by a communal cooling system?</t>
    </r>
  </si>
  <si>
    <r>
      <rPr>
        <b/>
        <sz val="9"/>
        <rFont val="Arial"/>
        <family val="2"/>
      </rPr>
      <t>NON DOMESTIC</t>
    </r>
    <r>
      <rPr>
        <sz val="9"/>
        <rFont val="Arial"/>
        <family val="2"/>
      </rPr>
      <t xml:space="preserve">
How is cooling distributed to individual non-domestic units from the central heat rejection plant?</t>
    </r>
  </si>
  <si>
    <r>
      <rPr>
        <b/>
        <sz val="9"/>
        <rFont val="Arial"/>
        <family val="2"/>
      </rPr>
      <t>NON DOMESTIC</t>
    </r>
    <r>
      <rPr>
        <sz val="9"/>
        <rFont val="Arial"/>
        <family val="2"/>
      </rPr>
      <t xml:space="preserve">
What is the type of chilled water flow and return entry to each non-domestic unit or separate tenant area?</t>
    </r>
  </si>
  <si>
    <r>
      <rPr>
        <b/>
        <sz val="9"/>
        <rFont val="Arial"/>
        <family val="2"/>
      </rPr>
      <t>NON DOMESTIC</t>
    </r>
    <r>
      <rPr>
        <sz val="9"/>
        <rFont val="Arial"/>
        <family val="2"/>
      </rPr>
      <t xml:space="preserve">
How is fresh air supplied to the non-domestic units?</t>
    </r>
  </si>
  <si>
    <r>
      <rPr>
        <b/>
        <sz val="9"/>
        <rFont val="Arial"/>
        <family val="2"/>
      </rPr>
      <t>NON DOMESTIC</t>
    </r>
    <r>
      <rPr>
        <sz val="9"/>
        <rFont val="Arial"/>
        <family val="2"/>
      </rPr>
      <t xml:space="preserve">
Does the supply ventilation also provide heating to the non-domestic units or separate tenant areas?</t>
    </r>
  </si>
  <si>
    <r>
      <rPr>
        <b/>
        <sz val="9"/>
        <rFont val="Arial"/>
        <family val="2"/>
      </rPr>
      <t>NON DOMESTIC</t>
    </r>
    <r>
      <rPr>
        <sz val="9"/>
        <rFont val="Arial"/>
        <family val="2"/>
      </rPr>
      <t xml:space="preserve">
Does the supply ventilation also provide cooling to the non-domestic units or separate tenant areas?</t>
    </r>
  </si>
  <si>
    <t>If known, what is the total metered heat in kWh supplied by the heat network?</t>
  </si>
  <si>
    <t>Non-domestic controls</t>
  </si>
  <si>
    <t>per 100m2</t>
  </si>
  <si>
    <t>Number of units</t>
  </si>
  <si>
    <r>
      <t>Total Gross Internal Floor Area (m</t>
    </r>
    <r>
      <rPr>
        <b/>
        <vertAlign val="superscript"/>
        <sz val="9"/>
        <color indexed="9"/>
        <rFont val="Arial"/>
        <family val="2"/>
      </rPr>
      <t>2</t>
    </r>
    <r>
      <rPr>
        <b/>
        <sz val="9"/>
        <color indexed="9"/>
        <rFont val="Arial"/>
        <family val="2"/>
      </rPr>
      <t>)</t>
    </r>
  </si>
  <si>
    <t>per year</t>
  </si>
  <si>
    <t>Cooling Efficiency</t>
  </si>
  <si>
    <t>Source: CIBSE F (type 2 business or holiday - typical)</t>
  </si>
  <si>
    <t>Domestic controls</t>
  </si>
  <si>
    <t xml:space="preserve">85% is used - gas price is used as an analogue cost of the cooling cost </t>
  </si>
  <si>
    <t>Flats</t>
  </si>
  <si>
    <t>Terraced houses</t>
  </si>
  <si>
    <t>Semi detached house(s)</t>
  </si>
  <si>
    <t>Detached house(s)</t>
  </si>
  <si>
    <t>Hot water included</t>
  </si>
  <si>
    <t>Thames</t>
  </si>
  <si>
    <t>South East England</t>
  </si>
  <si>
    <t>Southern England</t>
  </si>
  <si>
    <t>South West England</t>
  </si>
  <si>
    <t>Severn</t>
  </si>
  <si>
    <t>Midlands</t>
  </si>
  <si>
    <t>NW England / SW Scotland</t>
  </si>
  <si>
    <t>North East England</t>
  </si>
  <si>
    <t>West Scotland</t>
  </si>
  <si>
    <t>East Scotland</t>
  </si>
  <si>
    <t>North East Scotland</t>
  </si>
  <si>
    <t>Northern Ireland</t>
  </si>
  <si>
    <t>North West Scotland</t>
  </si>
  <si>
    <r>
      <rPr>
        <sz val="10"/>
        <rFont val="Arial"/>
        <family val="2"/>
      </rPr>
      <t>In the “Results” tab, the outputs of the viability evaluation are displayed. It is split into domestic, non-domestic, and mixed, and will give results for each.
If metering is deemed feasible, this means that, under standard circumstances and standard costs, heat meters could be technically and financially viable to install.
If metering is not viable, but heat cost allocators are deemed to be, under standard circumstances and standard costs, HCAs could be technically and financially viable to install.  
If neither metering nor heat cost allocators are viable, no action needs to be taken at this time. 
The tab also displays important warnings or assumptions that the calculation has made, based on the quality of data input, or on the specific data added.</t>
    </r>
    <r>
      <rPr>
        <sz val="10"/>
        <color indexed="24"/>
        <rFont val="Arial"/>
        <family val="2"/>
      </rPr>
      <t xml:space="preserve">
</t>
    </r>
  </si>
  <si>
    <t>As there are already HCAs present, please consult with the NMO for further advice.</t>
  </si>
  <si>
    <t>1 block up to 250 dwellings: 1 data collector</t>
  </si>
  <si>
    <t>1 block up to 64 dwellings: 1 data collector</t>
  </si>
  <si>
    <t>1 block up to 32 dwellings: 1 data collector</t>
  </si>
  <si>
    <t>1 block up to 8 dwellings: 1 data collector</t>
  </si>
  <si>
    <t>Ave per block</t>
  </si>
  <si>
    <t>If you envisage that you will incur aditional unavoidable costs due to changes to tenancy and contract agreements please consult the NMO for further advice.</t>
  </si>
  <si>
    <t>Dwellings types amended and reduced in number to reflect Imapact Assessment energy benchmarks
Extended dwelling age range as per IA benchmarks
Corrected non-domestic types to match across spreadsheet to ensure references match
Corrected dwelling number text error
Removed uneccessary cells in Controller tab
Feedback tab removed
Added HCA already installed to Results tab (HCA result section)
Corrected notes cell reference to return correct text when building is shown to be viable
Corrected mixed building CBA error - now include operational cost beyond yr2
Corrected Mixed use results text now returns viability as intended
Landlord/tenant hot water in/out adjustment included in non-domestic energy demand calculation
Corrected CBA now ensures energy saving = 0% in yr 0. 1/2 of full % in yr 1 and full % in yr 2.
Separated heating and cooling system/network efficiencies to allow easier future modification if required - figures remain identical
Updated CBA heating control reference and added non-domestic heating control cost at £50/100m2
Updated clear cells macro to match latest UI change
600mm pipe length question changed
Updated lists to reflect correct age, type and location ranges as mentioned
Changed font to all arial and removed IFERROR function to help compatability with Excel 1997 onwards
Removed repeat 'Notes' statement of viability - now only stated once per usage type.
Added cost ranges to the collector base station to refelct lower cost for smaller (serve fewer units) stations.</t>
  </si>
  <si>
    <t>per home</t>
  </si>
  <si>
    <t>V4b</t>
  </si>
  <si>
    <t xml:space="preserve">Amended the software cost to £15 per dwelling to avoid the problem with the £1500 applying to one or homes.
Changed saving in year 0 to 10% from 0% as this would be more appropriate for smaller schemes where the installation will not take as long. </t>
  </si>
  <si>
    <t>Replacement cost at year 15</t>
  </si>
  <si>
    <t>Source: network efficiency based on DECC Heat Networks study (yet to be published)</t>
  </si>
  <si>
    <t>NPV at 9% interest</t>
  </si>
  <si>
    <t>DECC requirement</t>
  </si>
  <si>
    <t>Source: DECC Impact Assessment</t>
  </si>
  <si>
    <t>There is little evidence that refers to non-domestic saving from introducing heat meters – it is assumed that reduced occupant control and incentive would mean a lower potential for saving. Half that of domestic energy saving is assumed to be reasonable</t>
  </si>
  <si>
    <t xml:space="preserve">Source: Effects of consumption-dependent billing as a function of the standard of energy efficiency in buildings (Felsmann, C. &amp; Schmidt, J., 2013) </t>
  </si>
  <si>
    <t>Are heating controls already present?</t>
  </si>
  <si>
    <t>Source: benchmark data taken from DECC impact assessment</t>
  </si>
  <si>
    <t>Source: based on hot water demand of Standard Assessment Procedure (SAP) calculations</t>
  </si>
  <si>
    <t>V5a</t>
  </si>
  <si>
    <t xml:space="preserve">Changed NPV discount rate to 9%
Added various source references for assumptions and benchmarks used
Changed non-domestic saving in year 0 to 5% from 0% as this would be more appropriate for smaller schemes where the installation will not take as long. </t>
  </si>
  <si>
    <t>All costs below are explained in the AECOM project report</t>
  </si>
  <si>
    <t>V5b</t>
  </si>
  <si>
    <t>Non-domestic heat energy updated for three categories (High street agency, General retail and small food store), note added to non-domestic benchmark.</t>
  </si>
  <si>
    <t>Most like an office</t>
  </si>
  <si>
    <t>Most like a large non food shop</t>
  </si>
  <si>
    <t>Typical thermal benchmarks adopted from similar building type heat use</t>
  </si>
  <si>
    <t>V5c</t>
  </si>
  <si>
    <t>Minor amendment to column E of the non-dom benchmark tab.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</si>
</sst>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00_ ;\-#,##0.00\ "/>
    <numFmt numFmtId="167" formatCode="&quot;£&quot;#,##0"/>
    <numFmt numFmtId="168" formatCode="_-&quot;£&quot;* #,##0_-;\-&quot;£&quot;* #,##0_-;_-&quot;£&quot;* &quot;-&quot;??_-;_-@_-"/>
    <numFmt numFmtId="169" formatCode="&quot;£&quot;#,##0.00"/>
    <numFmt numFmtId="170" formatCode="&quot;£&quot;#,##0.0;[Red]\-&quot;£&quot;#,##0.0"/>
  </numFmts>
  <fonts count="96">
    <font>
      <sz val="10"/>
      <name val="Arial"/>
      <family val="0"/>
    </font>
    <font>
      <sz val="11"/>
      <color indexed="8"/>
      <name val="Calibri"/>
      <family val="2"/>
    </font>
    <font>
      <sz val="9"/>
      <name val="Tahoma"/>
      <family val="2"/>
    </font>
    <font>
      <b/>
      <sz val="9"/>
      <name val="Tahoma"/>
      <family val="2"/>
    </font>
    <font>
      <b/>
      <sz val="10"/>
      <color indexed="9"/>
      <name val="Arial"/>
      <family val="2"/>
    </font>
    <font>
      <b/>
      <sz val="10"/>
      <name val="Arial"/>
      <family val="2"/>
    </font>
    <font>
      <i/>
      <sz val="10"/>
      <name val="Arial"/>
      <family val="2"/>
    </font>
    <font>
      <strike/>
      <sz val="10"/>
      <name val="Arial"/>
      <family val="2"/>
    </font>
    <font>
      <sz val="10"/>
      <color indexed="53"/>
      <name val="Arial"/>
      <family val="2"/>
    </font>
    <font>
      <sz val="8"/>
      <name val="Arial"/>
      <family val="2"/>
    </font>
    <font>
      <u val="single"/>
      <sz val="10"/>
      <name val="Arial"/>
      <family val="2"/>
    </font>
    <font>
      <b/>
      <sz val="16"/>
      <name val="Arial"/>
      <family val="2"/>
    </font>
    <font>
      <sz val="10"/>
      <color indexed="24"/>
      <name val="Arial"/>
      <family val="2"/>
    </font>
    <font>
      <sz val="9"/>
      <name val="Arial"/>
      <family val="2"/>
    </font>
    <font>
      <b/>
      <sz val="9"/>
      <name val="Arial"/>
      <family val="2"/>
    </font>
    <font>
      <b/>
      <sz val="14"/>
      <name val="Arial"/>
      <family val="2"/>
    </font>
    <font>
      <b/>
      <u val="single"/>
      <sz val="10"/>
      <name val="Arial"/>
      <family val="2"/>
    </font>
    <font>
      <b/>
      <sz val="10"/>
      <color indexed="8"/>
      <name val="Calibri"/>
      <family val="2"/>
    </font>
    <font>
      <i/>
      <sz val="10"/>
      <color indexed="24"/>
      <name val="Arial"/>
      <family val="2"/>
    </font>
    <font>
      <b/>
      <sz val="9"/>
      <color indexed="9"/>
      <name val="Arial"/>
      <family val="2"/>
    </font>
    <font>
      <b/>
      <vertAlign val="superscript"/>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20"/>
      <name val="Arial"/>
      <family val="2"/>
    </font>
    <font>
      <sz val="11"/>
      <color indexed="17"/>
      <name val="Calibri"/>
      <family val="2"/>
    </font>
    <font>
      <b/>
      <sz val="15"/>
      <color indexed="24"/>
      <name val="Calibri"/>
      <family val="2"/>
    </font>
    <font>
      <b/>
      <sz val="13"/>
      <color indexed="24"/>
      <name val="Calibri"/>
      <family val="2"/>
    </font>
    <font>
      <b/>
      <sz val="11"/>
      <color indexed="2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4"/>
      <name val="Cambria"/>
      <family val="2"/>
    </font>
    <font>
      <b/>
      <sz val="11"/>
      <color indexed="8"/>
      <name val="Calibri"/>
      <family val="2"/>
    </font>
    <font>
      <sz val="11"/>
      <color indexed="10"/>
      <name val="Calibri"/>
      <family val="2"/>
    </font>
    <font>
      <b/>
      <sz val="10"/>
      <color indexed="8"/>
      <name val="Arial"/>
      <family val="2"/>
    </font>
    <font>
      <b/>
      <sz val="12"/>
      <color indexed="24"/>
      <name val="Arial"/>
      <family val="2"/>
    </font>
    <font>
      <sz val="14"/>
      <color indexed="9"/>
      <name val="Arial"/>
      <family val="2"/>
    </font>
    <font>
      <sz val="10"/>
      <color indexed="9"/>
      <name val="Arial"/>
      <family val="2"/>
    </font>
    <font>
      <sz val="10"/>
      <color indexed="10"/>
      <name val="Arial"/>
      <family val="2"/>
    </font>
    <font>
      <b/>
      <sz val="14"/>
      <color indexed="9"/>
      <name val="Arial"/>
      <family val="2"/>
    </font>
    <font>
      <sz val="9"/>
      <color indexed="9"/>
      <name val="Arial"/>
      <family val="2"/>
    </font>
    <font>
      <sz val="9"/>
      <color indexed="53"/>
      <name val="Arial"/>
      <family val="2"/>
    </font>
    <font>
      <sz val="9"/>
      <color indexed="8"/>
      <name val="Arial"/>
      <family val="2"/>
    </font>
    <font>
      <b/>
      <sz val="9"/>
      <color indexed="53"/>
      <name val="Arial"/>
      <family val="2"/>
    </font>
    <font>
      <u val="single"/>
      <sz val="9"/>
      <color indexed="12"/>
      <name val="Arial"/>
      <family val="2"/>
    </font>
    <font>
      <b/>
      <sz val="9"/>
      <color indexed="8"/>
      <name val="Arial"/>
      <family val="2"/>
    </font>
    <font>
      <sz val="10"/>
      <color indexed="22"/>
      <name val="Arial"/>
      <family val="2"/>
    </font>
    <font>
      <sz val="11"/>
      <color indexed="9"/>
      <name val="Arial"/>
      <family val="2"/>
    </font>
    <font>
      <sz val="9"/>
      <color indexed="60"/>
      <name val="Arial"/>
      <family val="2"/>
    </font>
    <font>
      <b/>
      <sz val="9"/>
      <color indexed="25"/>
      <name val="Arial"/>
      <family val="2"/>
    </font>
    <font>
      <b/>
      <sz val="2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3" tint="-0.24997000396251678"/>
      <name val="Arial"/>
      <family val="2"/>
    </font>
    <font>
      <sz val="14"/>
      <color theme="0"/>
      <name val="Arial"/>
      <family val="2"/>
    </font>
    <font>
      <sz val="10"/>
      <color theme="0"/>
      <name val="Arial"/>
      <family val="2"/>
    </font>
    <font>
      <sz val="10"/>
      <color rgb="FFFF0000"/>
      <name val="Arial"/>
      <family val="2"/>
    </font>
    <font>
      <b/>
      <sz val="14"/>
      <color theme="0"/>
      <name val="Arial"/>
      <family val="2"/>
    </font>
    <font>
      <sz val="9"/>
      <color theme="0"/>
      <name val="Arial"/>
      <family val="2"/>
    </font>
    <font>
      <sz val="9"/>
      <color theme="9" tint="-0.24997000396251678"/>
      <name val="Arial"/>
      <family val="2"/>
    </font>
    <font>
      <sz val="9"/>
      <color theme="1"/>
      <name val="Arial"/>
      <family val="2"/>
    </font>
    <font>
      <b/>
      <sz val="9"/>
      <color theme="9" tint="-0.24997000396251678"/>
      <name val="Arial"/>
      <family val="2"/>
    </font>
    <font>
      <u val="single"/>
      <sz val="9"/>
      <color theme="10"/>
      <name val="Arial"/>
      <family val="2"/>
    </font>
    <font>
      <b/>
      <sz val="9"/>
      <color theme="0"/>
      <name val="Arial"/>
      <family val="2"/>
    </font>
    <font>
      <b/>
      <sz val="9"/>
      <color theme="1"/>
      <name val="Arial"/>
      <family val="2"/>
    </font>
    <font>
      <sz val="10"/>
      <color theme="0" tint="-0.24997000396251678"/>
      <name val="Arial"/>
      <family val="2"/>
    </font>
    <font>
      <sz val="10"/>
      <color theme="3"/>
      <name val="Arial"/>
      <family val="2"/>
    </font>
    <font>
      <sz val="11"/>
      <color theme="0"/>
      <name val="Arial"/>
      <family val="2"/>
    </font>
    <font>
      <sz val="9"/>
      <color rgb="FFC00000"/>
      <name val="Arial"/>
      <family val="2"/>
    </font>
    <font>
      <b/>
      <sz val="9"/>
      <color theme="4" tint="-0.24997000396251678"/>
      <name val="Arial"/>
      <family val="2"/>
    </font>
    <font>
      <b/>
      <sz val="24"/>
      <color theme="0"/>
      <name val="Arial"/>
      <family val="2"/>
    </font>
    <font>
      <b/>
      <sz val="10"/>
      <color theme="0"/>
      <name val="Arial"/>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9"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3" tint="-0.24997000396251678"/>
        <bgColor indexed="64"/>
      </patternFill>
    </fill>
    <fill>
      <patternFill patternType="solid">
        <fgColor rgb="FFFFC000"/>
        <bgColor indexed="64"/>
      </patternFill>
    </fill>
    <fill>
      <patternFill patternType="solid">
        <fgColor rgb="FF92D050"/>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theme="7" tint="-0.4999699890613556"/>
        <bgColor indexed="64"/>
      </patternFill>
    </fill>
    <fill>
      <patternFill patternType="solid">
        <fgColor theme="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style="medium"/>
      <top/>
      <bottom/>
    </border>
    <border>
      <left/>
      <right/>
      <top/>
      <bottom style="thin"/>
    </border>
    <border>
      <left style="medium"/>
      <right style="medium"/>
      <top/>
      <bottom style="thin"/>
    </border>
    <border>
      <left style="medium"/>
      <right/>
      <top/>
      <bottom style="thin"/>
    </border>
    <border>
      <left/>
      <right style="medium"/>
      <top/>
      <bottom style="thin"/>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medium"/>
      <bottom style="thin"/>
    </border>
    <border>
      <left style="thin"/>
      <right style="thin"/>
      <top style="thin"/>
      <bottom style="thin"/>
    </border>
    <border>
      <left/>
      <right/>
      <top style="thin"/>
      <bottom style="thin"/>
    </border>
    <border>
      <left/>
      <right/>
      <top style="thin"/>
      <bottom/>
    </border>
    <border>
      <left style="medium"/>
      <right style="thin"/>
      <top style="thin"/>
      <bottom style="thin"/>
    </border>
    <border>
      <left style="thin"/>
      <right style="thin"/>
      <top/>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medium"/>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1">
    <xf numFmtId="0" fontId="0" fillId="0" borderId="0" xfId="0" applyAlignment="1">
      <alignment/>
    </xf>
    <xf numFmtId="0" fontId="75" fillId="33" borderId="0" xfId="0" applyFont="1" applyFill="1" applyAlignment="1">
      <alignment horizontal="right"/>
    </xf>
    <xf numFmtId="0" fontId="76" fillId="33" borderId="0" xfId="0" applyFont="1" applyFill="1" applyBorder="1" applyAlignment="1">
      <alignment horizontal="left"/>
    </xf>
    <xf numFmtId="0" fontId="75"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Alignment="1">
      <alignment horizontal="center"/>
    </xf>
    <xf numFmtId="0" fontId="5" fillId="34" borderId="10" xfId="0" applyFont="1" applyFill="1" applyBorder="1" applyAlignment="1">
      <alignment horizontal="right"/>
    </xf>
    <xf numFmtId="0" fontId="0" fillId="35" borderId="11" xfId="0" applyFont="1" applyFill="1" applyBorder="1" applyAlignment="1">
      <alignment horizontal="center"/>
    </xf>
    <xf numFmtId="0" fontId="0" fillId="35" borderId="12" xfId="0" applyFont="1" applyFill="1" applyBorder="1" applyAlignment="1">
      <alignment horizontal="center" wrapText="1"/>
    </xf>
    <xf numFmtId="0" fontId="0" fillId="35" borderId="13" xfId="0" applyFont="1" applyFill="1"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wrapText="1"/>
    </xf>
    <xf numFmtId="0" fontId="0" fillId="35" borderId="16" xfId="0" applyFont="1" applyFill="1" applyBorder="1" applyAlignment="1">
      <alignment horizontal="center"/>
    </xf>
    <xf numFmtId="0" fontId="0" fillId="35" borderId="14" xfId="0" applyFont="1" applyFill="1" applyBorder="1" applyAlignment="1">
      <alignment horizontal="center" wrapText="1"/>
    </xf>
    <xf numFmtId="0" fontId="0" fillId="35" borderId="15" xfId="0" applyFont="1" applyFill="1" applyBorder="1" applyAlignment="1">
      <alignment horizontal="center"/>
    </xf>
    <xf numFmtId="0" fontId="5" fillId="35" borderId="17" xfId="0" applyFont="1" applyFill="1" applyBorder="1" applyAlignment="1">
      <alignment horizontal="right"/>
    </xf>
    <xf numFmtId="164" fontId="0" fillId="36" borderId="18" xfId="0" applyNumberFormat="1" applyFont="1" applyFill="1" applyBorder="1" applyAlignment="1">
      <alignment horizontal="center"/>
    </xf>
    <xf numFmtId="164" fontId="0" fillId="36" borderId="0" xfId="0" applyNumberFormat="1" applyFont="1" applyFill="1" applyBorder="1" applyAlignment="1">
      <alignment horizontal="center"/>
    </xf>
    <xf numFmtId="164" fontId="0" fillId="36" borderId="19" xfId="0" applyNumberFormat="1" applyFont="1" applyFill="1" applyBorder="1" applyAlignment="1">
      <alignment horizontal="center"/>
    </xf>
    <xf numFmtId="164" fontId="0" fillId="36" borderId="20" xfId="0" applyNumberFormat="1" applyFont="1" applyFill="1" applyBorder="1" applyAlignment="1">
      <alignment horizontal="center"/>
    </xf>
    <xf numFmtId="164" fontId="0" fillId="36" borderId="21" xfId="0" applyNumberFormat="1" applyFont="1" applyFill="1" applyBorder="1" applyAlignment="1">
      <alignment horizontal="center"/>
    </xf>
    <xf numFmtId="164" fontId="0" fillId="36" borderId="22" xfId="0" applyNumberFormat="1" applyFont="1" applyFill="1" applyBorder="1" applyAlignment="1">
      <alignment horizontal="center"/>
    </xf>
    <xf numFmtId="0" fontId="5" fillId="35" borderId="23" xfId="0" applyFont="1" applyFill="1" applyBorder="1" applyAlignment="1">
      <alignment horizontal="right"/>
    </xf>
    <xf numFmtId="164" fontId="0" fillId="33" borderId="18" xfId="0" applyNumberFormat="1" applyFont="1" applyFill="1" applyBorder="1" applyAlignment="1">
      <alignment horizontal="center"/>
    </xf>
    <xf numFmtId="164" fontId="0" fillId="33" borderId="0" xfId="0" applyNumberFormat="1" applyFont="1" applyFill="1" applyBorder="1" applyAlignment="1">
      <alignment horizontal="center"/>
    </xf>
    <xf numFmtId="164" fontId="0" fillId="33" borderId="19" xfId="0" applyNumberFormat="1" applyFont="1" applyFill="1" applyBorder="1" applyAlignment="1">
      <alignment horizontal="center"/>
    </xf>
    <xf numFmtId="0" fontId="0" fillId="33" borderId="24" xfId="0" applyFont="1" applyFill="1" applyBorder="1" applyAlignment="1">
      <alignment/>
    </xf>
    <xf numFmtId="0" fontId="5" fillId="35" borderId="25" xfId="0" applyFont="1" applyFill="1" applyBorder="1" applyAlignment="1">
      <alignment horizontal="right"/>
    </xf>
    <xf numFmtId="164" fontId="0" fillId="33" borderId="26" xfId="0" applyNumberFormat="1" applyFont="1" applyFill="1" applyBorder="1" applyAlignment="1">
      <alignment horizontal="center"/>
    </xf>
    <xf numFmtId="164" fontId="0" fillId="33" borderId="24" xfId="0" applyNumberFormat="1" applyFont="1" applyFill="1" applyBorder="1" applyAlignment="1">
      <alignment horizontal="center"/>
    </xf>
    <xf numFmtId="164" fontId="0" fillId="33" borderId="27" xfId="0" applyNumberFormat="1" applyFont="1" applyFill="1" applyBorder="1" applyAlignment="1">
      <alignment horizontal="center"/>
    </xf>
    <xf numFmtId="0" fontId="0" fillId="33" borderId="24" xfId="0" applyFont="1" applyFill="1" applyBorder="1" applyAlignment="1">
      <alignment horizontal="center"/>
    </xf>
    <xf numFmtId="0" fontId="5" fillId="35" borderId="28" xfId="0" applyFont="1" applyFill="1" applyBorder="1" applyAlignment="1">
      <alignment horizontal="right"/>
    </xf>
    <xf numFmtId="164" fontId="0" fillId="33" borderId="14" xfId="0" applyNumberFormat="1" applyFont="1" applyFill="1" applyBorder="1" applyAlignment="1">
      <alignment horizontal="center"/>
    </xf>
    <xf numFmtId="164" fontId="0" fillId="33" borderId="15" xfId="0" applyNumberFormat="1" applyFont="1" applyFill="1" applyBorder="1" applyAlignment="1">
      <alignment horizontal="center"/>
    </xf>
    <xf numFmtId="164" fontId="0" fillId="33" borderId="16" xfId="0" applyNumberFormat="1" applyFont="1" applyFill="1" applyBorder="1" applyAlignment="1">
      <alignment horizontal="center"/>
    </xf>
    <xf numFmtId="0" fontId="5"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wrapText="1"/>
    </xf>
    <xf numFmtId="0" fontId="7" fillId="0" borderId="0" xfId="0" applyFont="1" applyAlignment="1">
      <alignment/>
    </xf>
    <xf numFmtId="0" fontId="5" fillId="37" borderId="29" xfId="0" applyFont="1" applyFill="1" applyBorder="1" applyAlignment="1">
      <alignment/>
    </xf>
    <xf numFmtId="0" fontId="5" fillId="37" borderId="30" xfId="0" applyFont="1" applyFill="1" applyBorder="1" applyAlignment="1">
      <alignment/>
    </xf>
    <xf numFmtId="0" fontId="5" fillId="37" borderId="31" xfId="0" applyFont="1" applyFill="1" applyBorder="1" applyAlignment="1">
      <alignment/>
    </xf>
    <xf numFmtId="0" fontId="0" fillId="0" borderId="32" xfId="0" applyFont="1" applyBorder="1" applyAlignment="1">
      <alignment wrapText="1"/>
    </xf>
    <xf numFmtId="0" fontId="0" fillId="0" borderId="33" xfId="0" applyFont="1" applyBorder="1" applyAlignment="1">
      <alignment wrapText="1"/>
    </xf>
    <xf numFmtId="0" fontId="10"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10" fillId="38" borderId="0" xfId="0" applyFont="1" applyFill="1" applyBorder="1" applyAlignment="1">
      <alignment horizontal="left" vertical="top" wrapText="1"/>
    </xf>
    <xf numFmtId="0" fontId="0" fillId="0" borderId="0" xfId="0" applyFont="1" applyAlignment="1">
      <alignment wrapText="1"/>
    </xf>
    <xf numFmtId="0" fontId="0" fillId="0" borderId="0" xfId="0" applyFont="1" applyAlignment="1">
      <alignment horizontal="center"/>
    </xf>
    <xf numFmtId="0" fontId="77" fillId="39" borderId="0" xfId="0" applyFont="1" applyFill="1" applyAlignment="1">
      <alignment/>
    </xf>
    <xf numFmtId="0" fontId="13" fillId="0" borderId="34" xfId="0" applyFont="1" applyBorder="1" applyAlignment="1">
      <alignment/>
    </xf>
    <xf numFmtId="0" fontId="13" fillId="0" borderId="34" xfId="0" applyFont="1" applyFill="1" applyBorder="1" applyAlignment="1">
      <alignment horizontal="center"/>
    </xf>
    <xf numFmtId="0" fontId="9" fillId="0" borderId="34" xfId="0" applyFont="1" applyBorder="1" applyAlignment="1">
      <alignment/>
    </xf>
    <xf numFmtId="0" fontId="13" fillId="0" borderId="34" xfId="0" applyFont="1" applyFill="1" applyBorder="1" applyAlignment="1">
      <alignment horizontal="center" vertical="center" wrapText="1"/>
    </xf>
    <xf numFmtId="0" fontId="9" fillId="0" borderId="34" xfId="0" applyFont="1" applyBorder="1" applyAlignment="1">
      <alignment wrapText="1"/>
    </xf>
    <xf numFmtId="0" fontId="13" fillId="0" borderId="0" xfId="0" applyFont="1" applyBorder="1" applyAlignment="1">
      <alignment/>
    </xf>
    <xf numFmtId="0" fontId="13" fillId="3" borderId="35" xfId="0" applyFont="1" applyFill="1" applyBorder="1" applyAlignment="1">
      <alignment vertical="center" wrapText="1"/>
    </xf>
    <xf numFmtId="9" fontId="13" fillId="3" borderId="35" xfId="61" applyFont="1" applyFill="1" applyBorder="1" applyAlignment="1">
      <alignment horizontal="center" vertical="center"/>
    </xf>
    <xf numFmtId="165" fontId="13" fillId="3" borderId="35" xfId="43" applyNumberFormat="1" applyFont="1" applyFill="1" applyBorder="1" applyAlignment="1">
      <alignment horizontal="center" vertical="center"/>
    </xf>
    <xf numFmtId="166" fontId="13" fillId="3" borderId="35" xfId="43" applyNumberFormat="1" applyFont="1" applyFill="1" applyBorder="1" applyAlignment="1">
      <alignment horizontal="center" vertical="center"/>
    </xf>
    <xf numFmtId="0" fontId="5" fillId="3" borderId="0" xfId="0" applyFont="1" applyFill="1" applyAlignment="1">
      <alignment/>
    </xf>
    <xf numFmtId="0" fontId="14" fillId="40" borderId="0" xfId="0" applyFont="1" applyFill="1" applyAlignment="1">
      <alignment horizontal="center"/>
    </xf>
    <xf numFmtId="0" fontId="14" fillId="8" borderId="0" xfId="0" applyFont="1" applyFill="1" applyAlignment="1">
      <alignment horizontal="center"/>
    </xf>
    <xf numFmtId="0" fontId="14" fillId="3" borderId="35" xfId="0" applyFont="1" applyFill="1" applyBorder="1" applyAlignment="1">
      <alignment vertical="center" wrapText="1"/>
    </xf>
    <xf numFmtId="0" fontId="14" fillId="0" borderId="0" xfId="0" applyFont="1" applyBorder="1" applyAlignment="1">
      <alignment/>
    </xf>
    <xf numFmtId="5" fontId="14" fillId="3" borderId="35" xfId="45" applyNumberFormat="1" applyFont="1" applyFill="1" applyBorder="1" applyAlignment="1">
      <alignment horizontal="center" vertical="center"/>
    </xf>
    <xf numFmtId="0" fontId="5" fillId="0" borderId="0" xfId="0" applyFont="1" applyBorder="1" applyAlignment="1">
      <alignment/>
    </xf>
    <xf numFmtId="0" fontId="78" fillId="39" borderId="0" xfId="0" applyFont="1" applyFill="1" applyAlignment="1">
      <alignment horizontal="center"/>
    </xf>
    <xf numFmtId="0" fontId="0" fillId="0" borderId="0" xfId="0" applyFont="1" applyAlignment="1">
      <alignment horizontal="left" vertical="top" wrapText="1"/>
    </xf>
    <xf numFmtId="0" fontId="0" fillId="0" borderId="0" xfId="0" applyFont="1" applyAlignment="1">
      <alignment horizontal="right" vertical="top" wrapText="1"/>
    </xf>
    <xf numFmtId="0" fontId="13" fillId="0" borderId="34" xfId="0" applyFont="1" applyBorder="1" applyAlignment="1">
      <alignment wrapText="1"/>
    </xf>
    <xf numFmtId="0" fontId="13" fillId="0" borderId="34" xfId="0" applyFont="1" applyBorder="1" applyAlignment="1">
      <alignment horizontal="center" vertical="center"/>
    </xf>
    <xf numFmtId="0" fontId="13" fillId="0" borderId="34" xfId="0" applyFont="1" applyFill="1" applyBorder="1" applyAlignment="1">
      <alignment horizontal="center" vertical="center"/>
    </xf>
    <xf numFmtId="5" fontId="13" fillId="3" borderId="35" xfId="43" applyNumberFormat="1" applyFont="1" applyFill="1" applyBorder="1" applyAlignment="1">
      <alignment horizontal="center" vertical="center"/>
    </xf>
    <xf numFmtId="0" fontId="5" fillId="5" borderId="0" xfId="0" applyFont="1" applyFill="1" applyAlignment="1">
      <alignment/>
    </xf>
    <xf numFmtId="0" fontId="13" fillId="5" borderId="36" xfId="0" applyFont="1" applyFill="1" applyBorder="1" applyAlignment="1">
      <alignment wrapText="1"/>
    </xf>
    <xf numFmtId="0" fontId="13" fillId="5" borderId="0" xfId="0" applyFont="1" applyFill="1" applyBorder="1" applyAlignment="1">
      <alignment wrapText="1"/>
    </xf>
    <xf numFmtId="0" fontId="13" fillId="5" borderId="24" xfId="0" applyFont="1" applyFill="1" applyBorder="1" applyAlignment="1">
      <alignment wrapText="1"/>
    </xf>
    <xf numFmtId="0" fontId="14" fillId="5" borderId="35" xfId="0" applyFont="1" applyFill="1" applyBorder="1" applyAlignment="1">
      <alignment wrapText="1"/>
    </xf>
    <xf numFmtId="5" fontId="5" fillId="5" borderId="35" xfId="0" applyNumberFormat="1" applyFont="1" applyFill="1" applyBorder="1" applyAlignment="1">
      <alignment/>
    </xf>
    <xf numFmtId="0" fontId="5" fillId="4" borderId="0" xfId="0" applyFont="1" applyFill="1" applyAlignment="1">
      <alignment/>
    </xf>
    <xf numFmtId="0" fontId="0" fillId="0" borderId="34" xfId="0" applyFont="1" applyBorder="1" applyAlignment="1" applyProtection="1">
      <alignment wrapText="1"/>
      <protection hidden="1"/>
    </xf>
    <xf numFmtId="0" fontId="13" fillId="4" borderId="35" xfId="0" applyFont="1" applyFill="1" applyBorder="1" applyAlignment="1">
      <alignment vertical="center" wrapText="1"/>
    </xf>
    <xf numFmtId="165" fontId="13" fillId="4" borderId="35" xfId="43" applyNumberFormat="1" applyFont="1" applyFill="1" applyBorder="1" applyAlignment="1">
      <alignment horizontal="center" vertical="center"/>
    </xf>
    <xf numFmtId="9" fontId="13" fillId="4" borderId="35" xfId="61" applyFont="1" applyFill="1" applyBorder="1" applyAlignment="1">
      <alignment horizontal="center" vertical="center"/>
    </xf>
    <xf numFmtId="0" fontId="0" fillId="0" borderId="34" xfId="0" applyFont="1" applyFill="1" applyBorder="1" applyAlignment="1">
      <alignment horizontal="center"/>
    </xf>
    <xf numFmtId="0" fontId="14" fillId="4" borderId="35" xfId="0" applyFont="1" applyFill="1" applyBorder="1" applyAlignment="1">
      <alignment vertical="center" wrapText="1"/>
    </xf>
    <xf numFmtId="5" fontId="14" fillId="4" borderId="35" xfId="45" applyNumberFormat="1" applyFont="1" applyFill="1" applyBorder="1" applyAlignment="1">
      <alignment horizontal="center" vertical="center"/>
    </xf>
    <xf numFmtId="0" fontId="11" fillId="5" borderId="0" xfId="0" applyFont="1" applyFill="1" applyAlignment="1">
      <alignment/>
    </xf>
    <xf numFmtId="5" fontId="13" fillId="4" borderId="35" xfId="43" applyNumberFormat="1" applyFont="1" applyFill="1" applyBorder="1" applyAlignment="1">
      <alignment horizontal="center" vertical="center"/>
    </xf>
    <xf numFmtId="0" fontId="13" fillId="0" borderId="34" xfId="0" applyFont="1" applyBorder="1" applyAlignment="1">
      <alignment vertical="top" wrapText="1"/>
    </xf>
    <xf numFmtId="0" fontId="13" fillId="0" borderId="34" xfId="0" applyFont="1" applyBorder="1" applyAlignment="1">
      <alignment vertical="center" wrapText="1"/>
    </xf>
    <xf numFmtId="0" fontId="15" fillId="16" borderId="0" xfId="0" applyFont="1" applyFill="1" applyAlignment="1">
      <alignment/>
    </xf>
    <xf numFmtId="0" fontId="15" fillId="15" borderId="0" xfId="0" applyFont="1" applyFill="1" applyAlignment="1">
      <alignment/>
    </xf>
    <xf numFmtId="0" fontId="79" fillId="0" borderId="0" xfId="0" applyFont="1" applyAlignment="1">
      <alignment/>
    </xf>
    <xf numFmtId="0" fontId="13" fillId="4" borderId="35" xfId="43" applyNumberFormat="1" applyFont="1" applyFill="1" applyBorder="1" applyAlignment="1">
      <alignment horizontal="center" vertical="center"/>
    </xf>
    <xf numFmtId="0" fontId="0" fillId="0" borderId="32" xfId="0" applyFont="1" applyBorder="1" applyAlignment="1">
      <alignment vertical="top" wrapText="1"/>
    </xf>
    <xf numFmtId="0" fontId="5" fillId="33" borderId="0" xfId="0" applyFont="1" applyFill="1" applyBorder="1" applyAlignment="1" applyProtection="1">
      <alignment wrapText="1"/>
      <protection/>
    </xf>
    <xf numFmtId="0" fontId="0" fillId="33" borderId="0" xfId="0" applyFont="1" applyFill="1" applyAlignment="1" applyProtection="1">
      <alignment/>
      <protection hidden="1"/>
    </xf>
    <xf numFmtId="0" fontId="5" fillId="33" borderId="0" xfId="0" applyFont="1" applyFill="1" applyBorder="1" applyAlignment="1" applyProtection="1">
      <alignment horizontal="left" vertical="top" wrapText="1"/>
      <protection/>
    </xf>
    <xf numFmtId="0" fontId="0" fillId="0" borderId="0" xfId="0" applyFont="1" applyBorder="1" applyAlignment="1">
      <alignment/>
    </xf>
    <xf numFmtId="0" fontId="0" fillId="0" borderId="0" xfId="0" applyFont="1" applyFill="1" applyBorder="1" applyAlignment="1">
      <alignment/>
    </xf>
    <xf numFmtId="0" fontId="0" fillId="0" borderId="37" xfId="0" applyFont="1" applyBorder="1" applyAlignment="1">
      <alignment vertical="center"/>
    </xf>
    <xf numFmtId="0" fontId="11" fillId="41" borderId="0" xfId="0" applyFont="1" applyFill="1" applyBorder="1" applyAlignment="1" applyProtection="1">
      <alignment horizontal="left" vertical="center" wrapText="1"/>
      <protection/>
    </xf>
    <xf numFmtId="0" fontId="78" fillId="42" borderId="0" xfId="0" applyFont="1" applyFill="1" applyAlignment="1">
      <alignment/>
    </xf>
    <xf numFmtId="0" fontId="80" fillId="42" borderId="0" xfId="0" applyFont="1" applyFill="1" applyAlignment="1">
      <alignment/>
    </xf>
    <xf numFmtId="0" fontId="5" fillId="7" borderId="0" xfId="0" applyFont="1" applyFill="1" applyAlignment="1">
      <alignment/>
    </xf>
    <xf numFmtId="0" fontId="13" fillId="7" borderId="35" xfId="0" applyFont="1" applyFill="1" applyBorder="1" applyAlignment="1">
      <alignment vertical="center" wrapText="1"/>
    </xf>
    <xf numFmtId="5" fontId="13" fillId="7" borderId="35" xfId="43" applyNumberFormat="1" applyFont="1" applyFill="1" applyBorder="1" applyAlignment="1">
      <alignment horizontal="center" vertical="center"/>
    </xf>
    <xf numFmtId="0" fontId="14" fillId="7" borderId="35" xfId="0" applyFont="1" applyFill="1" applyBorder="1" applyAlignment="1">
      <alignment vertical="center" wrapText="1"/>
    </xf>
    <xf numFmtId="5" fontId="14" fillId="7" borderId="35" xfId="45" applyNumberFormat="1" applyFont="1" applyFill="1" applyBorder="1" applyAlignment="1">
      <alignment horizontal="center" vertical="center"/>
    </xf>
    <xf numFmtId="0" fontId="0" fillId="43" borderId="0" xfId="0" applyFont="1" applyFill="1" applyAlignment="1">
      <alignment/>
    </xf>
    <xf numFmtId="168" fontId="0" fillId="0" borderId="0" xfId="45" applyNumberFormat="1" applyFont="1" applyAlignment="1">
      <alignment/>
    </xf>
    <xf numFmtId="0" fontId="0" fillId="0" borderId="0" xfId="0" applyFont="1" applyFill="1" applyAlignment="1">
      <alignment horizontal="left" vertical="top"/>
    </xf>
    <xf numFmtId="0" fontId="0" fillId="0" borderId="0" xfId="0" applyFont="1" applyAlignment="1">
      <alignment horizontal="center" vertical="center"/>
    </xf>
    <xf numFmtId="0" fontId="5" fillId="33" borderId="0" xfId="58" applyFont="1" applyFill="1" applyBorder="1" applyAlignment="1" applyProtection="1">
      <alignment wrapText="1"/>
      <protection/>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xf>
    <xf numFmtId="0" fontId="0" fillId="33" borderId="0" xfId="0" applyFont="1" applyFill="1" applyBorder="1" applyAlignment="1">
      <alignment wrapText="1"/>
    </xf>
    <xf numFmtId="0" fontId="0" fillId="33" borderId="0" xfId="0" applyFont="1" applyFill="1" applyBorder="1" applyAlignment="1">
      <alignment horizontal="left" wrapText="1"/>
    </xf>
    <xf numFmtId="0" fontId="0" fillId="33" borderId="0" xfId="0" applyFont="1" applyFill="1" applyBorder="1" applyAlignment="1">
      <alignment horizontal="center" wrapText="1"/>
    </xf>
    <xf numFmtId="0" fontId="0" fillId="33" borderId="0" xfId="0" applyFont="1" applyFill="1" applyBorder="1" applyAlignment="1">
      <alignment vertical="top" wrapText="1"/>
    </xf>
    <xf numFmtId="0" fontId="7" fillId="33" borderId="0" xfId="0" applyFont="1" applyFill="1" applyBorder="1" applyAlignment="1">
      <alignment horizontal="left" vertical="top" wrapText="1"/>
    </xf>
    <xf numFmtId="0" fontId="0" fillId="38" borderId="0" xfId="0" applyFont="1" applyFill="1" applyBorder="1" applyAlignment="1">
      <alignment horizontal="left" vertical="top" wrapText="1"/>
    </xf>
    <xf numFmtId="0" fontId="16" fillId="33" borderId="0" xfId="0" applyFont="1" applyFill="1" applyBorder="1" applyAlignment="1">
      <alignment horizontal="left" vertical="top" wrapText="1"/>
    </xf>
    <xf numFmtId="0" fontId="79" fillId="33" borderId="0" xfId="0"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1" fontId="0" fillId="0" borderId="0" xfId="0" applyNumberFormat="1" applyFont="1" applyFill="1" applyBorder="1" applyAlignment="1">
      <alignment horizontal="left" vertical="top"/>
    </xf>
    <xf numFmtId="0" fontId="0" fillId="33" borderId="34" xfId="0" applyFont="1" applyFill="1" applyBorder="1" applyAlignment="1">
      <alignment horizontal="left" vertical="top" wrapText="1"/>
    </xf>
    <xf numFmtId="0" fontId="0" fillId="38" borderId="0" xfId="0" applyFont="1" applyFill="1" applyBorder="1" applyAlignment="1">
      <alignment vertical="top" wrapText="1"/>
    </xf>
    <xf numFmtId="0" fontId="0" fillId="35" borderId="34" xfId="0" applyNumberFormat="1" applyFont="1" applyFill="1" applyBorder="1" applyAlignment="1">
      <alignment horizontal="left" vertical="top" wrapText="1"/>
    </xf>
    <xf numFmtId="0" fontId="0" fillId="35" borderId="34" xfId="0" applyFont="1" applyFill="1" applyBorder="1" applyAlignment="1">
      <alignment horizontal="left" vertical="top" wrapText="1"/>
    </xf>
    <xf numFmtId="0" fontId="10" fillId="33" borderId="0" xfId="0" applyFont="1" applyFill="1" applyBorder="1" applyAlignment="1">
      <alignment/>
    </xf>
    <xf numFmtId="0" fontId="10" fillId="33" borderId="0" xfId="0" applyFont="1" applyFill="1" applyBorder="1" applyAlignment="1">
      <alignment horizontal="left"/>
    </xf>
    <xf numFmtId="0" fontId="0" fillId="33" borderId="34" xfId="0" applyFont="1" applyFill="1" applyBorder="1" applyAlignment="1">
      <alignment vertical="top"/>
    </xf>
    <xf numFmtId="0" fontId="0" fillId="10" borderId="34" xfId="0" applyFont="1" applyFill="1" applyBorder="1" applyAlignment="1">
      <alignment horizontal="left" vertical="top" wrapText="1"/>
    </xf>
    <xf numFmtId="0" fontId="0" fillId="38" borderId="38" xfId="0" applyFont="1" applyFill="1" applyBorder="1" applyAlignment="1">
      <alignment vertical="top" wrapText="1"/>
    </xf>
    <xf numFmtId="0" fontId="0" fillId="33" borderId="34" xfId="0" applyFont="1" applyFill="1" applyBorder="1" applyAlignment="1">
      <alignment horizontal="center" wrapText="1"/>
    </xf>
    <xf numFmtId="0" fontId="0" fillId="33" borderId="0" xfId="0" applyFont="1" applyFill="1" applyBorder="1" applyAlignment="1">
      <alignment horizontal="right" vertical="top"/>
    </xf>
    <xf numFmtId="0" fontId="0" fillId="33" borderId="0" xfId="0" applyFont="1" applyFill="1" applyBorder="1" applyAlignment="1" applyProtection="1">
      <alignment wrapText="1"/>
      <protection/>
    </xf>
    <xf numFmtId="0" fontId="0" fillId="33" borderId="0" xfId="0" applyFont="1" applyFill="1" applyBorder="1" applyAlignment="1">
      <alignment/>
    </xf>
    <xf numFmtId="0" fontId="0" fillId="41" borderId="0" xfId="0" applyFont="1" applyFill="1" applyBorder="1" applyAlignment="1" applyProtection="1">
      <alignment wrapText="1"/>
      <protection/>
    </xf>
    <xf numFmtId="0" fontId="0" fillId="33" borderId="0" xfId="0" applyFont="1" applyFill="1" applyBorder="1" applyAlignment="1" applyProtection="1">
      <alignment horizontal="left" vertical="top" wrapText="1"/>
      <protection/>
    </xf>
    <xf numFmtId="0" fontId="14"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0" fillId="33" borderId="0" xfId="37" applyFont="1" applyFill="1" applyBorder="1" applyAlignment="1" applyProtection="1">
      <alignment horizontal="left" vertical="top" wrapText="1"/>
      <protection/>
    </xf>
    <xf numFmtId="0" fontId="0" fillId="44" borderId="0" xfId="0" applyFont="1" applyFill="1" applyAlignment="1">
      <alignment/>
    </xf>
    <xf numFmtId="0" fontId="0" fillId="0" borderId="0" xfId="0" applyFont="1" applyAlignment="1">
      <alignment horizontal="right"/>
    </xf>
    <xf numFmtId="0" fontId="0" fillId="33" borderId="20" xfId="0" applyFont="1" applyFill="1" applyBorder="1" applyAlignment="1" applyProtection="1">
      <alignment/>
      <protection/>
    </xf>
    <xf numFmtId="0" fontId="0" fillId="33" borderId="21" xfId="0" applyFont="1" applyFill="1" applyBorder="1" applyAlignment="1" applyProtection="1">
      <alignment wrapText="1"/>
      <protection/>
    </xf>
    <xf numFmtId="0" fontId="0" fillId="33" borderId="22" xfId="0" applyFont="1" applyFill="1" applyBorder="1" applyAlignment="1" applyProtection="1">
      <alignment/>
      <protection/>
    </xf>
    <xf numFmtId="0" fontId="0" fillId="33" borderId="0" xfId="0" applyFont="1" applyFill="1" applyAlignment="1" applyProtection="1">
      <alignment wrapText="1"/>
      <protection hidden="1"/>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13" fillId="33" borderId="18" xfId="0" applyFont="1" applyFill="1" applyBorder="1" applyAlignment="1" applyProtection="1">
      <alignment/>
      <protection/>
    </xf>
    <xf numFmtId="0" fontId="13" fillId="33" borderId="0" xfId="0" applyFont="1" applyFill="1" applyAlignment="1" applyProtection="1">
      <alignment/>
      <protection hidden="1"/>
    </xf>
    <xf numFmtId="0" fontId="81" fillId="33" borderId="0" xfId="0" applyFont="1" applyFill="1" applyAlignment="1" applyProtection="1">
      <alignment wrapText="1"/>
      <protection hidden="1"/>
    </xf>
    <xf numFmtId="0" fontId="81" fillId="33" borderId="0" xfId="0" applyFont="1" applyFill="1" applyAlignment="1" applyProtection="1">
      <alignment/>
      <protection hidden="1"/>
    </xf>
    <xf numFmtId="0" fontId="13" fillId="33" borderId="18" xfId="0" applyFont="1" applyFill="1" applyBorder="1" applyAlignment="1" applyProtection="1">
      <alignment/>
      <protection locked="0"/>
    </xf>
    <xf numFmtId="0" fontId="82" fillId="33" borderId="0" xfId="0" applyFont="1" applyFill="1" applyAlignment="1" applyProtection="1">
      <alignment/>
      <protection hidden="1"/>
    </xf>
    <xf numFmtId="0" fontId="81" fillId="39" borderId="34" xfId="34" applyFont="1" applyFill="1" applyBorder="1" applyAlignment="1" applyProtection="1">
      <alignment vertical="top" wrapText="1"/>
      <protection/>
    </xf>
    <xf numFmtId="0" fontId="83" fillId="2" borderId="34" xfId="15" applyFont="1" applyFill="1" applyBorder="1" applyAlignment="1" applyProtection="1">
      <alignment horizontal="center" vertical="center" wrapText="1"/>
      <protection locked="0"/>
    </xf>
    <xf numFmtId="0" fontId="84" fillId="33" borderId="19" xfId="0" applyFont="1" applyFill="1" applyBorder="1" applyAlignment="1" applyProtection="1">
      <alignment wrapText="1"/>
      <protection/>
    </xf>
    <xf numFmtId="0" fontId="81" fillId="39" borderId="34" xfId="34" applyFont="1" applyFill="1" applyBorder="1" applyAlignment="1" applyProtection="1">
      <alignment wrapText="1"/>
      <protection/>
    </xf>
    <xf numFmtId="0" fontId="82" fillId="33" borderId="19" xfId="0" applyFont="1" applyFill="1" applyBorder="1" applyAlignment="1" applyProtection="1">
      <alignment wrapText="1"/>
      <protection/>
    </xf>
    <xf numFmtId="0" fontId="13" fillId="33" borderId="39" xfId="0"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5" fillId="33" borderId="0" xfId="54" applyFont="1" applyFill="1" applyBorder="1" applyAlignment="1" applyProtection="1">
      <alignment wrapText="1"/>
      <protection/>
    </xf>
    <xf numFmtId="0" fontId="13" fillId="9" borderId="34" xfId="35" applyFont="1" applyFill="1" applyBorder="1" applyAlignment="1" applyProtection="1">
      <alignment horizontal="left" vertical="top" wrapText="1"/>
      <protection/>
    </xf>
    <xf numFmtId="0" fontId="83" fillId="32" borderId="34" xfId="18"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xf>
    <xf numFmtId="0" fontId="81" fillId="33" borderId="19" xfId="0" applyFont="1" applyFill="1" applyBorder="1" applyAlignment="1" applyProtection="1">
      <alignment wrapText="1"/>
      <protection/>
    </xf>
    <xf numFmtId="0" fontId="13" fillId="12" borderId="34" xfId="36" applyFont="1" applyFill="1" applyBorder="1" applyAlignment="1" applyProtection="1">
      <alignment wrapText="1"/>
      <protection/>
    </xf>
    <xf numFmtId="0" fontId="14" fillId="11" borderId="34" xfId="34" applyFont="1" applyFill="1" applyBorder="1" applyAlignment="1" applyProtection="1">
      <alignment wrapText="1"/>
      <protection/>
    </xf>
    <xf numFmtId="0" fontId="13" fillId="11" borderId="34" xfId="34" applyFont="1" applyFill="1" applyBorder="1" applyAlignment="1" applyProtection="1">
      <alignment wrapText="1"/>
      <protection/>
    </xf>
    <xf numFmtId="0" fontId="13" fillId="32" borderId="34" xfId="0" applyFont="1" applyFill="1" applyBorder="1" applyAlignment="1" applyProtection="1">
      <alignment horizontal="center" vertical="center"/>
      <protection locked="0"/>
    </xf>
    <xf numFmtId="0" fontId="86" fillId="45" borderId="0" xfId="0" applyFont="1" applyFill="1" applyBorder="1" applyAlignment="1" applyProtection="1">
      <alignment vertical="center" wrapText="1"/>
      <protection/>
    </xf>
    <xf numFmtId="0" fontId="81" fillId="45" borderId="0" xfId="0" applyFont="1" applyFill="1" applyBorder="1" applyAlignment="1" applyProtection="1">
      <alignment wrapText="1"/>
      <protection/>
    </xf>
    <xf numFmtId="0" fontId="13" fillId="45" borderId="0" xfId="0" applyFont="1" applyFill="1" applyBorder="1" applyAlignment="1" applyProtection="1">
      <alignment wrapText="1"/>
      <protection/>
    </xf>
    <xf numFmtId="0" fontId="82" fillId="46" borderId="19" xfId="0" applyFont="1" applyFill="1" applyBorder="1" applyAlignment="1" applyProtection="1">
      <alignment wrapText="1"/>
      <protection/>
    </xf>
    <xf numFmtId="0" fontId="14" fillId="33" borderId="0" xfId="0" applyFont="1" applyFill="1" applyBorder="1" applyAlignment="1" applyProtection="1">
      <alignment horizontal="center" vertical="center" wrapText="1"/>
      <protection/>
    </xf>
    <xf numFmtId="0" fontId="14" fillId="33" borderId="34" xfId="35" applyFont="1" applyFill="1" applyBorder="1" applyAlignment="1" applyProtection="1">
      <alignment horizontal="center" vertical="center"/>
      <protection/>
    </xf>
    <xf numFmtId="0" fontId="13" fillId="9" borderId="34" xfId="35" applyFont="1" applyFill="1" applyBorder="1" applyAlignment="1" applyProtection="1">
      <alignment horizontal="left" wrapText="1"/>
      <protection/>
    </xf>
    <xf numFmtId="0" fontId="83" fillId="32" borderId="34" xfId="17" applyFont="1" applyFill="1" applyBorder="1" applyAlignment="1" applyProtection="1">
      <alignment horizontal="center" vertical="center" wrapText="1"/>
      <protection locked="0"/>
    </xf>
    <xf numFmtId="0" fontId="14" fillId="9" borderId="34" xfId="35" applyFont="1" applyFill="1" applyBorder="1" applyAlignment="1" applyProtection="1">
      <alignment horizontal="left" wrapText="1"/>
      <protection/>
    </xf>
    <xf numFmtId="0" fontId="14" fillId="32" borderId="34" xfId="17" applyFont="1" applyFill="1" applyBorder="1" applyAlignment="1" applyProtection="1">
      <alignment horizontal="center" vertical="center" wrapText="1"/>
      <protection/>
    </xf>
    <xf numFmtId="0" fontId="13" fillId="33" borderId="19" xfId="0" applyFont="1" applyFill="1" applyBorder="1" applyAlignment="1" applyProtection="1">
      <alignment wrapText="1"/>
      <protection/>
    </xf>
    <xf numFmtId="3" fontId="83" fillId="32" borderId="34" xfId="17" applyNumberFormat="1" applyFont="1" applyFill="1" applyBorder="1" applyAlignment="1" applyProtection="1">
      <alignment horizontal="center" vertical="center" wrapText="1"/>
      <protection locked="0"/>
    </xf>
    <xf numFmtId="0" fontId="13" fillId="9" borderId="34" xfId="35" applyFont="1" applyFill="1" applyBorder="1" applyAlignment="1" applyProtection="1">
      <alignment wrapText="1"/>
      <protection/>
    </xf>
    <xf numFmtId="0" fontId="13" fillId="33" borderId="0" xfId="0" applyFont="1" applyFill="1" applyBorder="1" applyAlignment="1" applyProtection="1">
      <alignment horizontal="center" vertical="center" wrapText="1"/>
      <protection/>
    </xf>
    <xf numFmtId="0" fontId="86" fillId="46" borderId="34" xfId="36" applyFont="1" applyFill="1" applyBorder="1" applyAlignment="1" applyProtection="1">
      <alignment horizontal="center" vertical="center" wrapText="1"/>
      <protection/>
    </xf>
    <xf numFmtId="0" fontId="13" fillId="12" borderId="34" xfId="36" applyFont="1" applyFill="1" applyBorder="1" applyAlignment="1" applyProtection="1">
      <alignment vertical="center" wrapText="1"/>
      <protection/>
    </xf>
    <xf numFmtId="0" fontId="14" fillId="12" borderId="34" xfId="36" applyFont="1" applyFill="1" applyBorder="1" applyAlignment="1" applyProtection="1">
      <alignment wrapText="1"/>
      <protection/>
    </xf>
    <xf numFmtId="0" fontId="87" fillId="32" borderId="34" xfId="18" applyFont="1" applyFill="1" applyBorder="1" applyAlignment="1" applyProtection="1">
      <alignment horizontal="center" vertical="center" wrapText="1"/>
      <protection/>
    </xf>
    <xf numFmtId="0" fontId="13" fillId="33" borderId="0" xfId="0" applyFont="1" applyFill="1" applyBorder="1" applyAlignment="1" applyProtection="1">
      <alignment vertical="top" wrapText="1"/>
      <protection/>
    </xf>
    <xf numFmtId="0" fontId="82" fillId="33" borderId="19" xfId="0" applyFont="1" applyFill="1" applyBorder="1" applyAlignment="1" applyProtection="1">
      <alignment/>
      <protection/>
    </xf>
    <xf numFmtId="0" fontId="82" fillId="33" borderId="0" xfId="0" applyFont="1" applyFill="1" applyAlignment="1" applyProtection="1">
      <alignment wrapText="1"/>
      <protection hidden="1"/>
    </xf>
    <xf numFmtId="0" fontId="85" fillId="33" borderId="0" xfId="54" applyFont="1" applyFill="1" applyBorder="1" applyAlignment="1" applyProtection="1">
      <alignment wrapText="1"/>
      <protection locked="0"/>
    </xf>
    <xf numFmtId="0" fontId="82" fillId="33" borderId="0" xfId="0" applyFont="1" applyFill="1" applyBorder="1" applyAlignment="1" applyProtection="1">
      <alignment/>
      <protection/>
    </xf>
    <xf numFmtId="0" fontId="13" fillId="33" borderId="14" xfId="0" applyFont="1" applyFill="1" applyBorder="1" applyAlignment="1" applyProtection="1">
      <alignment wrapText="1"/>
      <protection/>
    </xf>
    <xf numFmtId="0" fontId="13" fillId="33" borderId="15" xfId="0" applyFont="1" applyFill="1" applyBorder="1" applyAlignment="1" applyProtection="1">
      <alignment wrapText="1"/>
      <protection/>
    </xf>
    <xf numFmtId="0" fontId="82" fillId="33" borderId="15" xfId="0" applyFont="1" applyFill="1" applyBorder="1" applyAlignment="1" applyProtection="1">
      <alignment/>
      <protection/>
    </xf>
    <xf numFmtId="0" fontId="82" fillId="33" borderId="16" xfId="0" applyFont="1" applyFill="1" applyBorder="1" applyAlignment="1" applyProtection="1">
      <alignment wrapText="1"/>
      <protection/>
    </xf>
    <xf numFmtId="0" fontId="13" fillId="33" borderId="0" xfId="0" applyFont="1" applyFill="1" applyAlignment="1" applyProtection="1">
      <alignment wrapText="1"/>
      <protection hidden="1"/>
    </xf>
    <xf numFmtId="0" fontId="0" fillId="0" borderId="34" xfId="0" applyFont="1" applyBorder="1" applyAlignment="1">
      <alignment/>
    </xf>
    <xf numFmtId="0" fontId="0" fillId="33" borderId="40" xfId="37" applyFont="1" applyFill="1" applyBorder="1" applyAlignment="1" applyProtection="1">
      <alignment horizontal="left" vertical="top" wrapText="1"/>
      <protection/>
    </xf>
    <xf numFmtId="3" fontId="0" fillId="33" borderId="41" xfId="37" applyNumberFormat="1" applyFont="1" applyFill="1" applyBorder="1" applyAlignment="1" applyProtection="1">
      <alignment horizontal="left" vertical="top" wrapText="1"/>
      <protection/>
    </xf>
    <xf numFmtId="0" fontId="0" fillId="33" borderId="39" xfId="37" applyFont="1" applyFill="1" applyBorder="1" applyAlignment="1" applyProtection="1">
      <alignment horizontal="left" vertical="top" wrapText="1"/>
      <protection/>
    </xf>
    <xf numFmtId="5" fontId="0" fillId="33" borderId="42" xfId="37" applyNumberFormat="1" applyFont="1" applyFill="1" applyBorder="1" applyAlignment="1" applyProtection="1">
      <alignment horizontal="left" vertical="top" wrapText="1"/>
      <protection/>
    </xf>
    <xf numFmtId="0" fontId="0" fillId="33" borderId="43" xfId="37" applyFont="1" applyFill="1" applyBorder="1" applyAlignment="1" applyProtection="1">
      <alignment horizontal="left" vertical="top" wrapText="1"/>
      <protection/>
    </xf>
    <xf numFmtId="5" fontId="0" fillId="33" borderId="44" xfId="37" applyNumberFormat="1" applyFont="1" applyFill="1" applyBorder="1" applyAlignment="1" applyProtection="1">
      <alignment horizontal="left" vertical="top" wrapText="1"/>
      <protection/>
    </xf>
    <xf numFmtId="2" fontId="0" fillId="0" borderId="0" xfId="0" applyNumberFormat="1" applyFont="1" applyAlignment="1">
      <alignment/>
    </xf>
    <xf numFmtId="3" fontId="83" fillId="32" borderId="34" xfId="18" applyNumberFormat="1" applyFont="1" applyFill="1" applyBorder="1" applyAlignment="1" applyProtection="1">
      <alignment horizontal="center" vertical="center" wrapText="1"/>
      <protection locked="0"/>
    </xf>
    <xf numFmtId="3" fontId="87" fillId="32" borderId="34" xfId="24" applyNumberFormat="1" applyFont="1" applyFill="1" applyBorder="1" applyAlignment="1" applyProtection="1">
      <alignment horizontal="center" vertical="center" wrapText="1"/>
      <protection/>
    </xf>
    <xf numFmtId="165" fontId="0" fillId="33" borderId="42" xfId="37" applyNumberFormat="1" applyFont="1" applyFill="1" applyBorder="1" applyAlignment="1" applyProtection="1">
      <alignment horizontal="left" vertical="top" wrapText="1"/>
      <protection/>
    </xf>
    <xf numFmtId="165" fontId="0" fillId="33" borderId="44" xfId="37" applyNumberFormat="1" applyFont="1" applyFill="1" applyBorder="1" applyAlignment="1" applyProtection="1">
      <alignment horizontal="left" vertical="top" wrapText="1"/>
      <protection/>
    </xf>
    <xf numFmtId="167" fontId="0" fillId="33" borderId="0" xfId="37" applyNumberFormat="1" applyFont="1" applyFill="1" applyBorder="1" applyAlignment="1" applyProtection="1">
      <alignment horizontal="right" vertical="top" wrapText="1"/>
      <protection/>
    </xf>
    <xf numFmtId="167" fontId="0" fillId="33" borderId="24" xfId="37" applyNumberFormat="1" applyFont="1" applyFill="1" applyBorder="1" applyAlignment="1" applyProtection="1">
      <alignment horizontal="right" vertical="top" wrapText="1"/>
      <protection/>
    </xf>
    <xf numFmtId="3" fontId="0" fillId="33" borderId="36" xfId="37" applyNumberFormat="1" applyFont="1" applyFill="1" applyBorder="1" applyAlignment="1" applyProtection="1">
      <alignment horizontal="right" vertical="top" wrapText="1"/>
      <protection/>
    </xf>
    <xf numFmtId="166" fontId="13" fillId="4" borderId="35" xfId="43" applyNumberFormat="1" applyFont="1" applyFill="1" applyBorder="1" applyAlignment="1">
      <alignment horizontal="center" vertical="center"/>
    </xf>
    <xf numFmtId="0" fontId="0" fillId="0" borderId="0" xfId="0" applyFont="1" applyAlignment="1">
      <alignment vertical="top" wrapText="1"/>
    </xf>
    <xf numFmtId="0" fontId="11" fillId="33" borderId="0" xfId="0" applyFont="1" applyFill="1" applyBorder="1" applyAlignment="1" applyProtection="1">
      <alignment horizontal="center" vertical="center" wrapText="1"/>
      <protection/>
    </xf>
    <xf numFmtId="0" fontId="78" fillId="47" borderId="0" xfId="0" applyFont="1" applyFill="1" applyBorder="1" applyAlignment="1" applyProtection="1">
      <alignment horizontal="left" vertical="top" wrapText="1"/>
      <protection/>
    </xf>
    <xf numFmtId="0" fontId="67" fillId="33" borderId="0" xfId="54" applyFont="1" applyFill="1" applyBorder="1" applyAlignment="1" applyProtection="1">
      <alignment wrapText="1"/>
      <protection locked="0"/>
    </xf>
    <xf numFmtId="0" fontId="0" fillId="33" borderId="20" xfId="58" applyFont="1" applyFill="1" applyBorder="1" applyProtection="1">
      <alignment/>
      <protection/>
    </xf>
    <xf numFmtId="0" fontId="0" fillId="33" borderId="21" xfId="58" applyFont="1" applyFill="1" applyBorder="1" applyAlignment="1" applyProtection="1">
      <alignment wrapText="1"/>
      <protection/>
    </xf>
    <xf numFmtId="0" fontId="0" fillId="33" borderId="22" xfId="58" applyFont="1" applyFill="1" applyBorder="1" applyProtection="1">
      <alignment/>
      <protection/>
    </xf>
    <xf numFmtId="0" fontId="0" fillId="33" borderId="0" xfId="58" applyFont="1" applyFill="1" applyProtection="1">
      <alignment/>
      <protection/>
    </xf>
    <xf numFmtId="0" fontId="0" fillId="33" borderId="18" xfId="58" applyFont="1" applyFill="1" applyBorder="1" applyProtection="1">
      <alignment/>
      <protection/>
    </xf>
    <xf numFmtId="0" fontId="0" fillId="33" borderId="19" xfId="58" applyFont="1" applyFill="1" applyBorder="1" applyProtection="1">
      <alignment/>
      <protection/>
    </xf>
    <xf numFmtId="0" fontId="0" fillId="33" borderId="0" xfId="58" applyFont="1" applyFill="1" applyBorder="1" applyAlignment="1" applyProtection="1">
      <alignment wrapText="1"/>
      <protection/>
    </xf>
    <xf numFmtId="0" fontId="0" fillId="33" borderId="14" xfId="58" applyFont="1" applyFill="1" applyBorder="1" applyProtection="1">
      <alignment/>
      <protection/>
    </xf>
    <xf numFmtId="0" fontId="0" fillId="33" borderId="15" xfId="58" applyFont="1" applyFill="1" applyBorder="1" applyProtection="1">
      <alignment/>
      <protection/>
    </xf>
    <xf numFmtId="0" fontId="0" fillId="33" borderId="16" xfId="58" applyFont="1" applyFill="1" applyBorder="1" applyProtection="1">
      <alignment/>
      <protection/>
    </xf>
    <xf numFmtId="0" fontId="0" fillId="0" borderId="34" xfId="0" applyFont="1" applyBorder="1" applyAlignment="1">
      <alignment vertical="center"/>
    </xf>
    <xf numFmtId="0" fontId="0" fillId="0" borderId="32" xfId="0" applyFont="1" applyBorder="1" applyAlignment="1">
      <alignment/>
    </xf>
    <xf numFmtId="0" fontId="0" fillId="0" borderId="37"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18"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pplyProtection="1">
      <alignment/>
      <protection/>
    </xf>
    <xf numFmtId="0" fontId="0" fillId="38" borderId="0" xfId="0" applyFont="1" applyFill="1" applyBorder="1" applyAlignment="1">
      <alignment horizontal="center" vertical="top" wrapText="1"/>
    </xf>
    <xf numFmtId="0" fontId="0" fillId="38" borderId="0" xfId="0" applyFont="1" applyFill="1" applyBorder="1" applyAlignment="1">
      <alignment/>
    </xf>
    <xf numFmtId="0" fontId="0" fillId="33" borderId="0" xfId="0" applyFont="1" applyFill="1" applyBorder="1" applyAlignment="1">
      <alignment horizontal="center" vertical="top" wrapText="1"/>
    </xf>
    <xf numFmtId="0" fontId="0" fillId="33" borderId="38" xfId="0" applyFont="1" applyFill="1" applyBorder="1" applyAlignment="1">
      <alignment horizontal="center" vertical="top" wrapText="1"/>
    </xf>
    <xf numFmtId="0" fontId="0" fillId="33" borderId="38" xfId="0" applyFont="1" applyFill="1" applyBorder="1" applyAlignment="1">
      <alignment/>
    </xf>
    <xf numFmtId="0" fontId="0" fillId="33" borderId="34" xfId="0" applyNumberFormat="1" applyFont="1" applyFill="1" applyBorder="1" applyAlignment="1">
      <alignment horizontal="left" vertical="top" wrapText="1"/>
    </xf>
    <xf numFmtId="0" fontId="0" fillId="38" borderId="38" xfId="0" applyFont="1" applyFill="1" applyBorder="1" applyAlignment="1">
      <alignment horizontal="center" vertical="top" wrapText="1"/>
    </xf>
    <xf numFmtId="0" fontId="0" fillId="33" borderId="0"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0" borderId="0" xfId="0" applyFont="1" applyBorder="1" applyAlignment="1" applyProtection="1">
      <alignment/>
      <protection hidden="1"/>
    </xf>
    <xf numFmtId="0" fontId="0" fillId="33" borderId="34" xfId="0" applyFont="1" applyFill="1" applyBorder="1" applyAlignment="1">
      <alignment/>
    </xf>
    <xf numFmtId="0" fontId="0" fillId="35" borderId="34" xfId="0" applyFont="1" applyFill="1" applyBorder="1" applyAlignment="1">
      <alignment horizontal="left"/>
    </xf>
    <xf numFmtId="1" fontId="0" fillId="35" borderId="34" xfId="0" applyNumberFormat="1" applyFont="1" applyFill="1" applyBorder="1" applyAlignment="1">
      <alignment horizontal="left" vertical="top" wrapText="1"/>
    </xf>
    <xf numFmtId="0" fontId="0" fillId="38" borderId="38" xfId="0" applyFont="1" applyFill="1" applyBorder="1" applyAlignment="1">
      <alignment/>
    </xf>
    <xf numFmtId="0" fontId="0" fillId="33" borderId="38" xfId="0" applyFont="1" applyFill="1" applyBorder="1" applyAlignment="1">
      <alignment horizontal="center" wrapText="1"/>
    </xf>
    <xf numFmtId="0" fontId="0" fillId="38" borderId="48"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xf>
    <xf numFmtId="0" fontId="0" fillId="39" borderId="0" xfId="0" applyFont="1" applyFill="1" applyAlignment="1">
      <alignment/>
    </xf>
    <xf numFmtId="0" fontId="0" fillId="40" borderId="0" xfId="0" applyFont="1" applyFill="1" applyAlignment="1">
      <alignment horizontal="center"/>
    </xf>
    <xf numFmtId="0" fontId="0" fillId="8" borderId="0" xfId="0" applyFont="1" applyFill="1" applyAlignment="1">
      <alignment horizontal="center"/>
    </xf>
    <xf numFmtId="0" fontId="0" fillId="15" borderId="0" xfId="0" applyFont="1" applyFill="1" applyAlignment="1">
      <alignment/>
    </xf>
    <xf numFmtId="0" fontId="0" fillId="3" borderId="0" xfId="0" applyFont="1" applyFill="1" applyAlignment="1">
      <alignment/>
    </xf>
    <xf numFmtId="0" fontId="0" fillId="0" borderId="34" xfId="0" applyFont="1" applyBorder="1" applyAlignment="1">
      <alignment horizontal="center" vertical="center"/>
    </xf>
    <xf numFmtId="3" fontId="0" fillId="0" borderId="34" xfId="0" applyNumberFormat="1" applyFont="1" applyFill="1" applyBorder="1" applyAlignment="1">
      <alignment horizontal="center" vertical="center"/>
    </xf>
    <xf numFmtId="0" fontId="0" fillId="0" borderId="0" xfId="0" applyFont="1" applyFill="1" applyBorder="1" applyAlignment="1">
      <alignment horizontal="center" vertical="center"/>
    </xf>
    <xf numFmtId="167" fontId="0" fillId="0" borderId="34" xfId="0" applyNumberFormat="1" applyFont="1" applyBorder="1" applyAlignment="1">
      <alignment horizontal="center"/>
    </xf>
    <xf numFmtId="0" fontId="0" fillId="0" borderId="34" xfId="0" applyFont="1" applyBorder="1" applyAlignment="1">
      <alignment horizontal="center"/>
    </xf>
    <xf numFmtId="167" fontId="0" fillId="0" borderId="34" xfId="0" applyNumberFormat="1" applyFont="1" applyBorder="1" applyAlignment="1">
      <alignment horizontal="center" vertical="center"/>
    </xf>
    <xf numFmtId="167" fontId="0" fillId="0" borderId="34" xfId="0" applyNumberFormat="1" applyFont="1" applyFill="1" applyBorder="1" applyAlignment="1">
      <alignment horizontal="center" vertical="center"/>
    </xf>
    <xf numFmtId="169" fontId="0" fillId="0" borderId="0" xfId="0" applyNumberFormat="1" applyFont="1" applyAlignment="1">
      <alignment/>
    </xf>
    <xf numFmtId="3" fontId="0" fillId="0" borderId="34" xfId="0" applyNumberFormat="1" applyFont="1" applyBorder="1" applyAlignment="1">
      <alignment horizontal="center" vertical="center"/>
    </xf>
    <xf numFmtId="0" fontId="0" fillId="16" borderId="0" xfId="0" applyFont="1" applyFill="1" applyAlignment="1">
      <alignment/>
    </xf>
    <xf numFmtId="0" fontId="0" fillId="4" borderId="0" xfId="0" applyFont="1" applyFill="1" applyAlignment="1">
      <alignment/>
    </xf>
    <xf numFmtId="0" fontId="0" fillId="0" borderId="34" xfId="0" applyFont="1" applyBorder="1" applyAlignment="1">
      <alignment wrapText="1"/>
    </xf>
    <xf numFmtId="0" fontId="0" fillId="0" borderId="0" xfId="0" applyFont="1" applyAlignment="1" applyProtection="1">
      <alignment/>
      <protection hidden="1"/>
    </xf>
    <xf numFmtId="3" fontId="0" fillId="0" borderId="34" xfId="0" applyNumberFormat="1" applyFont="1" applyBorder="1" applyAlignment="1">
      <alignment/>
    </xf>
    <xf numFmtId="3" fontId="0" fillId="0" borderId="34" xfId="0" applyNumberFormat="1" applyFont="1" applyBorder="1" applyAlignment="1" applyProtection="1">
      <alignment/>
      <protection hidden="1"/>
    </xf>
    <xf numFmtId="165" fontId="0" fillId="0" borderId="0" xfId="0" applyNumberFormat="1" applyFont="1" applyAlignment="1" applyProtection="1">
      <alignment/>
      <protection hidden="1"/>
    </xf>
    <xf numFmtId="167" fontId="0" fillId="0" borderId="0" xfId="0" applyNumberFormat="1" applyFont="1" applyAlignment="1">
      <alignment/>
    </xf>
    <xf numFmtId="0" fontId="0" fillId="7" borderId="0" xfId="0" applyFont="1" applyFill="1" applyAlignment="1">
      <alignment/>
    </xf>
    <xf numFmtId="0" fontId="0" fillId="5" borderId="0" xfId="0" applyFont="1" applyFill="1" applyAlignment="1">
      <alignment/>
    </xf>
    <xf numFmtId="10" fontId="0" fillId="44" borderId="34" xfId="0" applyNumberFormat="1" applyFont="1" applyFill="1" applyBorder="1" applyAlignment="1">
      <alignment/>
    </xf>
    <xf numFmtId="5" fontId="0" fillId="5" borderId="36" xfId="0" applyNumberFormat="1" applyFont="1" applyFill="1" applyBorder="1" applyAlignment="1">
      <alignment/>
    </xf>
    <xf numFmtId="9" fontId="0" fillId="5" borderId="0" xfId="61" applyFont="1" applyFill="1" applyBorder="1" applyAlignment="1">
      <alignment/>
    </xf>
    <xf numFmtId="5" fontId="0" fillId="5" borderId="24" xfId="0" applyNumberFormat="1" applyFont="1" applyFill="1" applyBorder="1" applyAlignment="1">
      <alignment/>
    </xf>
    <xf numFmtId="5" fontId="0" fillId="5" borderId="0" xfId="0" applyNumberFormat="1" applyFont="1" applyFill="1" applyAlignment="1">
      <alignment/>
    </xf>
    <xf numFmtId="10" fontId="0" fillId="0" borderId="0" xfId="0" applyNumberFormat="1" applyFont="1" applyAlignment="1">
      <alignment/>
    </xf>
    <xf numFmtId="0" fontId="0" fillId="0" borderId="0" xfId="0" applyFont="1" applyAlignment="1">
      <alignment horizontal="left" vertical="top"/>
    </xf>
    <xf numFmtId="3" fontId="0" fillId="0" borderId="0" xfId="0" applyNumberFormat="1" applyFont="1" applyAlignment="1">
      <alignment/>
    </xf>
    <xf numFmtId="3" fontId="0" fillId="44" borderId="0" xfId="0" applyNumberFormat="1" applyFont="1" applyFill="1" applyAlignment="1">
      <alignment/>
    </xf>
    <xf numFmtId="4" fontId="0" fillId="0" borderId="0" xfId="0" applyNumberFormat="1" applyFont="1" applyAlignment="1">
      <alignment/>
    </xf>
    <xf numFmtId="167"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48" borderId="0" xfId="0" applyFont="1" applyFill="1" applyAlignment="1">
      <alignment horizontal="center" vertical="center"/>
    </xf>
    <xf numFmtId="0" fontId="0" fillId="44" borderId="0" xfId="0" applyFont="1" applyFill="1" applyAlignment="1">
      <alignment horizontal="center" vertical="center"/>
    </xf>
    <xf numFmtId="6" fontId="0" fillId="0" borderId="0" xfId="0" applyNumberFormat="1" applyFont="1" applyAlignment="1">
      <alignment horizontal="center" vertical="center"/>
    </xf>
    <xf numFmtId="168" fontId="0" fillId="0" borderId="0" xfId="0" applyNumberFormat="1" applyFont="1" applyAlignment="1">
      <alignment/>
    </xf>
    <xf numFmtId="6" fontId="0" fillId="0" borderId="0" xfId="0" applyNumberFormat="1" applyFont="1" applyAlignment="1">
      <alignment horizontal="center"/>
    </xf>
    <xf numFmtId="0" fontId="0" fillId="0" borderId="37" xfId="0" applyFont="1" applyBorder="1" applyAlignment="1">
      <alignment vertical="top" wrapText="1"/>
    </xf>
    <xf numFmtId="0" fontId="0" fillId="0" borderId="34" xfId="0" applyFont="1" applyBorder="1" applyAlignment="1">
      <alignment vertical="top" wrapText="1"/>
    </xf>
    <xf numFmtId="14" fontId="0" fillId="0" borderId="34" xfId="0" applyNumberFormat="1" applyFont="1" applyBorder="1" applyAlignment="1">
      <alignment vertical="top"/>
    </xf>
    <xf numFmtId="0" fontId="0" fillId="0" borderId="37" xfId="0" applyFont="1" applyBorder="1" applyAlignment="1">
      <alignment vertical="top"/>
    </xf>
    <xf numFmtId="0" fontId="0" fillId="0" borderId="34" xfId="0" applyFont="1" applyBorder="1" applyAlignment="1">
      <alignment vertical="top"/>
    </xf>
    <xf numFmtId="0" fontId="0" fillId="0" borderId="49" xfId="0" applyFont="1" applyBorder="1" applyAlignment="1">
      <alignment vertical="top"/>
    </xf>
    <xf numFmtId="0" fontId="0" fillId="0" borderId="50" xfId="0" applyFont="1" applyBorder="1" applyAlignment="1">
      <alignment vertical="top"/>
    </xf>
    <xf numFmtId="14" fontId="0" fillId="0" borderId="50" xfId="0" applyNumberFormat="1" applyFont="1" applyBorder="1" applyAlignment="1">
      <alignment vertical="top"/>
    </xf>
    <xf numFmtId="0" fontId="88" fillId="0" borderId="0" xfId="0" applyFont="1" applyFill="1" applyAlignment="1">
      <alignment/>
    </xf>
    <xf numFmtId="1" fontId="88" fillId="0" borderId="0" xfId="0" applyNumberFormat="1" applyFont="1" applyFill="1" applyAlignment="1">
      <alignment/>
    </xf>
    <xf numFmtId="1" fontId="88" fillId="0" borderId="0" xfId="0" applyNumberFormat="1" applyFont="1" applyAlignment="1">
      <alignment/>
    </xf>
    <xf numFmtId="14" fontId="0" fillId="0" borderId="37" xfId="0" applyNumberFormat="1" applyFont="1" applyBorder="1" applyAlignment="1">
      <alignment vertical="top"/>
    </xf>
    <xf numFmtId="14" fontId="0" fillId="0" borderId="32" xfId="0" applyNumberFormat="1" applyFont="1" applyBorder="1" applyAlignment="1">
      <alignment vertical="top" wrapText="1"/>
    </xf>
    <xf numFmtId="0" fontId="0" fillId="49" borderId="0" xfId="0" applyFont="1" applyFill="1" applyAlignment="1">
      <alignment/>
    </xf>
    <xf numFmtId="0" fontId="0" fillId="34" borderId="0" xfId="0" applyFont="1" applyFill="1" applyAlignment="1">
      <alignment/>
    </xf>
    <xf numFmtId="0" fontId="0" fillId="17" borderId="0" xfId="0" applyFont="1" applyFill="1" applyAlignment="1">
      <alignment/>
    </xf>
    <xf numFmtId="0" fontId="0" fillId="14" borderId="0" xfId="0" applyFont="1" applyFill="1" applyAlignment="1">
      <alignment/>
    </xf>
    <xf numFmtId="0" fontId="0" fillId="4" borderId="51" xfId="58" applyFont="1" applyFill="1" applyBorder="1" applyAlignment="1" applyProtection="1">
      <alignment horizontal="left" vertical="top" wrapText="1" indent="1"/>
      <protection/>
    </xf>
    <xf numFmtId="0" fontId="89" fillId="4" borderId="35" xfId="58" applyFont="1" applyFill="1" applyBorder="1" applyAlignment="1" applyProtection="1">
      <alignment horizontal="left" vertical="top" wrapText="1" indent="1"/>
      <protection/>
    </xf>
    <xf numFmtId="0" fontId="89" fillId="4" borderId="52" xfId="58" applyFont="1" applyFill="1" applyBorder="1" applyAlignment="1" applyProtection="1">
      <alignment horizontal="left" vertical="top" wrapText="1" indent="1"/>
      <protection/>
    </xf>
    <xf numFmtId="0" fontId="89" fillId="4" borderId="51" xfId="58" applyFont="1" applyFill="1" applyBorder="1" applyAlignment="1" applyProtection="1">
      <alignment horizontal="left" vertical="top" wrapText="1" indent="1"/>
      <protection/>
    </xf>
    <xf numFmtId="0" fontId="90" fillId="50" borderId="51" xfId="34" applyFont="1" applyFill="1" applyBorder="1" applyAlignment="1" applyProtection="1">
      <alignment horizontal="left" vertical="top" wrapText="1"/>
      <protection/>
    </xf>
    <xf numFmtId="0" fontId="90" fillId="50" borderId="35" xfId="34" applyFont="1" applyFill="1" applyBorder="1" applyAlignment="1" applyProtection="1">
      <alignment horizontal="left" vertical="top" wrapText="1"/>
      <protection/>
    </xf>
    <xf numFmtId="0" fontId="90" fillId="50" borderId="52" xfId="34" applyFont="1" applyFill="1" applyBorder="1" applyAlignment="1" applyProtection="1">
      <alignment horizontal="left" vertical="top" wrapText="1"/>
      <protection/>
    </xf>
    <xf numFmtId="0" fontId="11" fillId="33" borderId="0" xfId="58" applyFont="1" applyFill="1" applyBorder="1" applyAlignment="1" applyProtection="1">
      <alignment horizontal="center" vertical="center" wrapText="1"/>
      <protection/>
    </xf>
    <xf numFmtId="0" fontId="78" fillId="51" borderId="51" xfId="58" applyFont="1" applyFill="1" applyBorder="1" applyAlignment="1" applyProtection="1">
      <alignment horizontal="center" vertical="center" wrapText="1"/>
      <protection/>
    </xf>
    <xf numFmtId="0" fontId="78" fillId="51" borderId="35" xfId="58" applyFont="1" applyFill="1" applyBorder="1" applyAlignment="1" applyProtection="1">
      <alignment horizontal="center" vertical="center" wrapText="1"/>
      <protection/>
    </xf>
    <xf numFmtId="0" fontId="78" fillId="51" borderId="52" xfId="58" applyFont="1" applyFill="1" applyBorder="1" applyAlignment="1" applyProtection="1">
      <alignment horizontal="center" vertical="center" wrapText="1"/>
      <protection/>
    </xf>
    <xf numFmtId="0" fontId="89" fillId="35" borderId="51" xfId="0" applyFont="1" applyFill="1" applyBorder="1" applyAlignment="1" applyProtection="1">
      <alignment horizontal="left" vertical="top" wrapText="1"/>
      <protection/>
    </xf>
    <xf numFmtId="0" fontId="89" fillId="35" borderId="35" xfId="0" applyFont="1" applyFill="1" applyBorder="1" applyAlignment="1" applyProtection="1">
      <alignment horizontal="left" vertical="top" wrapText="1"/>
      <protection/>
    </xf>
    <xf numFmtId="0" fontId="89" fillId="35" borderId="52" xfId="0" applyFont="1" applyFill="1" applyBorder="1" applyAlignment="1" applyProtection="1">
      <alignment horizontal="left" vertical="top" wrapText="1"/>
      <protection/>
    </xf>
    <xf numFmtId="0" fontId="86" fillId="45" borderId="24" xfId="0" applyFont="1" applyFill="1" applyBorder="1" applyAlignment="1" applyProtection="1">
      <alignment horizontal="left" vertical="center" wrapText="1"/>
      <protection/>
    </xf>
    <xf numFmtId="0" fontId="14" fillId="0" borderId="0" xfId="0" applyFont="1" applyBorder="1" applyAlignment="1">
      <alignment vertical="top" wrapText="1"/>
    </xf>
    <xf numFmtId="0" fontId="81" fillId="33" borderId="51" xfId="36" applyFont="1" applyFill="1" applyBorder="1" applyAlignment="1" applyProtection="1">
      <alignment horizontal="left" vertical="top" wrapText="1"/>
      <protection/>
    </xf>
    <xf numFmtId="0" fontId="81" fillId="33" borderId="52" xfId="36" applyFont="1" applyFill="1" applyBorder="1" applyAlignment="1" applyProtection="1">
      <alignment horizontal="left" vertical="top" wrapText="1"/>
      <protection/>
    </xf>
    <xf numFmtId="0" fontId="86" fillId="45" borderId="34" xfId="36" applyFont="1" applyFill="1" applyBorder="1" applyAlignment="1" applyProtection="1">
      <alignment horizontal="left" vertical="top" wrapText="1"/>
      <protection/>
    </xf>
    <xf numFmtId="0" fontId="11" fillId="33" borderId="0" xfId="0" applyFont="1" applyFill="1" applyBorder="1" applyAlignment="1" applyProtection="1">
      <alignment horizontal="center" vertical="center" wrapText="1"/>
      <protection/>
    </xf>
    <xf numFmtId="0" fontId="78" fillId="47" borderId="0" xfId="0" applyFont="1" applyFill="1" applyBorder="1" applyAlignment="1" applyProtection="1">
      <alignment horizontal="left" vertical="top" wrapText="1"/>
      <protection/>
    </xf>
    <xf numFmtId="0" fontId="91" fillId="33" borderId="0" xfId="0" applyFont="1" applyFill="1" applyBorder="1" applyAlignment="1" applyProtection="1">
      <alignment horizontal="right" wrapText="1"/>
      <protection/>
    </xf>
    <xf numFmtId="0" fontId="91" fillId="33" borderId="19" xfId="0" applyFont="1" applyFill="1" applyBorder="1" applyAlignment="1" applyProtection="1">
      <alignment horizontal="right" wrapText="1"/>
      <protection/>
    </xf>
    <xf numFmtId="0" fontId="81" fillId="33" borderId="51" xfId="35" applyFont="1" applyFill="1" applyBorder="1" applyAlignment="1" applyProtection="1">
      <alignment vertical="top" wrapText="1"/>
      <protection/>
    </xf>
    <xf numFmtId="0" fontId="81" fillId="33" borderId="52" xfId="35" applyFont="1" applyFill="1" applyBorder="1" applyAlignment="1" applyProtection="1">
      <alignment vertical="top" wrapText="1"/>
      <protection/>
    </xf>
    <xf numFmtId="0" fontId="14" fillId="0" borderId="35" xfId="0" applyFont="1" applyBorder="1" applyAlignment="1">
      <alignment vertical="top" wrapText="1"/>
    </xf>
    <xf numFmtId="0" fontId="92" fillId="33" borderId="0" xfId="0" applyFont="1" applyFill="1" applyBorder="1" applyAlignment="1" applyProtection="1">
      <alignment horizontal="left" wrapText="1"/>
      <protection/>
    </xf>
    <xf numFmtId="0" fontId="0" fillId="5" borderId="51" xfId="37" applyFont="1" applyFill="1" applyBorder="1" applyAlignment="1" applyProtection="1">
      <alignment horizontal="left" vertical="top" wrapText="1"/>
      <protection/>
    </xf>
    <xf numFmtId="0" fontId="0" fillId="5" borderId="35" xfId="37" applyFont="1" applyFill="1" applyBorder="1" applyAlignment="1" applyProtection="1">
      <alignment horizontal="left" vertical="top" wrapText="1"/>
      <protection/>
    </xf>
    <xf numFmtId="0" fontId="0" fillId="5" borderId="52" xfId="37" applyFont="1" applyFill="1" applyBorder="1" applyAlignment="1" applyProtection="1">
      <alignment horizontal="left" vertical="top" wrapText="1"/>
      <protection/>
    </xf>
    <xf numFmtId="0" fontId="93" fillId="52" borderId="0" xfId="0" applyFont="1" applyFill="1" applyBorder="1" applyAlignment="1" applyProtection="1">
      <alignment horizontal="center" vertical="top" wrapText="1"/>
      <protection/>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3" xfId="0" applyFont="1" applyFill="1" applyBorder="1" applyAlignment="1">
      <alignment horizontal="center"/>
    </xf>
    <xf numFmtId="0" fontId="94" fillId="53" borderId="20" xfId="0" applyFont="1" applyFill="1" applyBorder="1" applyAlignment="1">
      <alignment horizontal="center"/>
    </xf>
    <xf numFmtId="0" fontId="94" fillId="53" borderId="21" xfId="0" applyFont="1" applyFill="1" applyBorder="1" applyAlignment="1">
      <alignment horizontal="center"/>
    </xf>
    <xf numFmtId="0" fontId="94" fillId="53" borderId="22" xfId="0" applyFont="1" applyFill="1" applyBorder="1" applyAlignment="1">
      <alignment horizontal="center"/>
    </xf>
    <xf numFmtId="0" fontId="94" fillId="53" borderId="14" xfId="0" applyFont="1" applyFill="1" applyBorder="1" applyAlignment="1">
      <alignment horizontal="center"/>
    </xf>
    <xf numFmtId="0" fontId="94" fillId="53" borderId="15" xfId="0" applyFont="1" applyFill="1" applyBorder="1" applyAlignment="1">
      <alignment horizontal="center"/>
    </xf>
    <xf numFmtId="0" fontId="94" fillId="53" borderId="16" xfId="0" applyFont="1" applyFill="1" applyBorder="1" applyAlignment="1">
      <alignment horizontal="center"/>
    </xf>
  </cellXfs>
  <cellStyles count="51">
    <cellStyle name="Normal" xfId="0"/>
    <cellStyle name="20% - Accent1" xfId="15"/>
    <cellStyle name="20% - Accent1 2"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8">
    <dxf>
      <font>
        <color theme="0"/>
      </font>
    </dxf>
    <dxf>
      <font>
        <color theme="0"/>
      </font>
    </dxf>
    <dxf>
      <font>
        <color theme="0"/>
      </font>
    </dxf>
    <dxf>
      <font>
        <color theme="0"/>
      </font>
    </dxf>
    <dxf>
      <font>
        <color theme="0"/>
      </font>
    </dxf>
    <dxf>
      <font>
        <color theme="0"/>
      </font>
      <fill>
        <patternFill>
          <bgColor theme="1" tint="0.04998999834060669"/>
        </patternFill>
      </fill>
    </dxf>
    <dxf>
      <font>
        <color theme="0"/>
      </font>
      <fill>
        <patternFill>
          <bgColor theme="1"/>
        </patternFill>
      </fill>
    </dxf>
    <dxf>
      <font>
        <color theme="0" tint="-0.24993999302387238"/>
      </font>
      <fill>
        <patternFill>
          <bgColor theme="0" tint="-0.24993999302387238"/>
        </patternFill>
      </fill>
    </dxf>
    <dxf>
      <font>
        <color theme="0"/>
      </font>
      <fill>
        <patternFill>
          <bgColor theme="1"/>
        </patternFill>
      </fill>
    </dxf>
    <dxf>
      <font>
        <color theme="0"/>
      </font>
      <fill>
        <patternFill>
          <bgColor theme="1" tint="0.04998999834060669"/>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font>
      <fill>
        <patternFill>
          <bgColor theme="1" tint="0.04998999834060669"/>
        </patternFill>
      </fill>
    </dxf>
    <dxf>
      <font>
        <color theme="0"/>
      </font>
      <fill>
        <patternFill>
          <bgColor theme="1" tint="0.04998999834060669"/>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font>
      <fill>
        <patternFill>
          <bgColor theme="1"/>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font>
      <fill>
        <patternFill>
          <bgColor theme="1"/>
        </patternFill>
      </fill>
    </dxf>
    <dxf>
      <fill>
        <patternFill>
          <bgColor theme="1" tint="0.04998999834060669"/>
        </patternFill>
      </fill>
    </dxf>
    <dxf>
      <fill>
        <patternFill>
          <bgColor theme="0" tint="-0.24993999302387238"/>
        </patternFill>
      </fill>
    </dxf>
    <dxf>
      <font>
        <color theme="0" tint="-0.24993999302387238"/>
      </font>
    </dxf>
    <dxf>
      <fill>
        <patternFill>
          <bgColor theme="0" tint="-0.24993999302387238"/>
        </patternFill>
      </fill>
    </dxf>
    <dxf>
      <font>
        <color theme="0" tint="-0.24993999302387238"/>
      </font>
    </dxf>
    <dxf>
      <font>
        <color theme="0"/>
      </font>
      <fill>
        <patternFill>
          <bgColor theme="0"/>
        </patternFill>
      </fill>
    </dxf>
    <dxf>
      <font>
        <color rgb="FFFF00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1568C"/>
      <rgbColor rgb="004D80A9"/>
      <rgbColor rgb="0088ABC6"/>
      <rgbColor rgb="003C5B59"/>
      <rgbColor rgb="006D8483"/>
      <rgbColor rgb="009EADAC"/>
      <rgbColor rgb="00704165"/>
      <rgbColor rgb="0094718C"/>
      <rgbColor rgb="002A254B"/>
      <rgbColor rgb="000076CC"/>
      <rgbColor rgb="0080BBE6"/>
      <rgbColor rgb="00735657"/>
      <rgbColor rgb="00000000"/>
      <rgbColor rgb="00808080"/>
      <rgbColor rgb="00B8A0B2"/>
      <rgbColor rgb="00441E1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3:I40"/>
  <sheetViews>
    <sheetView tabSelected="1" zoomScalePageLayoutView="0" workbookViewId="0" topLeftCell="A1">
      <selection activeCell="I4" sqref="I4"/>
    </sheetView>
  </sheetViews>
  <sheetFormatPr defaultColWidth="9.140625" defaultRowHeight="12.75"/>
  <cols>
    <col min="1" max="1" width="15.7109375" style="39" customWidth="1"/>
    <col min="2" max="2" width="9.140625" style="39" customWidth="1"/>
    <col min="3" max="3" width="15.421875" style="39" bestFit="1" customWidth="1"/>
    <col min="4" max="4" width="11.8515625" style="39" bestFit="1" customWidth="1"/>
    <col min="5" max="5" width="10.8515625" style="39" bestFit="1" customWidth="1"/>
    <col min="6" max="6" width="10.140625" style="39" bestFit="1" customWidth="1"/>
    <col min="7" max="7" width="12.421875" style="39" bestFit="1" customWidth="1"/>
    <col min="8" max="8" width="10.140625" style="39" bestFit="1" customWidth="1"/>
    <col min="9" max="9" width="64.00390625" style="39" customWidth="1"/>
    <col min="10" max="16384" width="9.140625" style="39" customWidth="1"/>
  </cols>
  <sheetData>
    <row r="2" ht="13.5" thickBot="1"/>
    <row r="3" spans="2:9" ht="13.5" thickBot="1">
      <c r="B3" s="46" t="s">
        <v>237</v>
      </c>
      <c r="C3" s="47" t="s">
        <v>238</v>
      </c>
      <c r="D3" s="47" t="s">
        <v>241</v>
      </c>
      <c r="E3" s="47" t="s">
        <v>239</v>
      </c>
      <c r="F3" s="47" t="s">
        <v>241</v>
      </c>
      <c r="G3" s="47" t="s">
        <v>240</v>
      </c>
      <c r="H3" s="47" t="s">
        <v>241</v>
      </c>
      <c r="I3" s="48" t="s">
        <v>242</v>
      </c>
    </row>
    <row r="4" spans="2:9" ht="25.5">
      <c r="B4" s="325" t="s">
        <v>629</v>
      </c>
      <c r="C4" s="315" t="s">
        <v>509</v>
      </c>
      <c r="D4" s="316">
        <v>41936</v>
      </c>
      <c r="E4" s="315" t="s">
        <v>512</v>
      </c>
      <c r="F4" s="316">
        <v>41936</v>
      </c>
      <c r="G4" s="315" t="s">
        <v>512</v>
      </c>
      <c r="H4" s="316">
        <v>41936</v>
      </c>
      <c r="I4" s="326" t="s">
        <v>630</v>
      </c>
    </row>
    <row r="5" spans="2:9" ht="38.25">
      <c r="B5" s="325" t="s">
        <v>624</v>
      </c>
      <c r="C5" s="315" t="s">
        <v>509</v>
      </c>
      <c r="D5" s="316">
        <v>41936</v>
      </c>
      <c r="E5" s="315" t="s">
        <v>512</v>
      </c>
      <c r="F5" s="316">
        <v>41936</v>
      </c>
      <c r="G5" s="315" t="s">
        <v>512</v>
      </c>
      <c r="H5" s="316">
        <v>41936</v>
      </c>
      <c r="I5" s="326" t="s">
        <v>625</v>
      </c>
    </row>
    <row r="6" spans="2:9" ht="76.5">
      <c r="B6" s="325" t="s">
        <v>621</v>
      </c>
      <c r="C6" s="315" t="s">
        <v>509</v>
      </c>
      <c r="D6" s="316">
        <v>41920</v>
      </c>
      <c r="E6" s="315" t="s">
        <v>512</v>
      </c>
      <c r="F6" s="316">
        <v>41926</v>
      </c>
      <c r="G6" s="315" t="s">
        <v>512</v>
      </c>
      <c r="H6" s="316">
        <v>41926</v>
      </c>
      <c r="I6" s="326" t="s">
        <v>622</v>
      </c>
    </row>
    <row r="7" spans="2:9" ht="76.5">
      <c r="B7" s="325" t="s">
        <v>609</v>
      </c>
      <c r="C7" s="315" t="s">
        <v>509</v>
      </c>
      <c r="D7" s="316">
        <v>41858</v>
      </c>
      <c r="E7" s="315" t="s">
        <v>512</v>
      </c>
      <c r="F7" s="316">
        <v>41859</v>
      </c>
      <c r="G7" s="315" t="s">
        <v>512</v>
      </c>
      <c r="H7" s="316">
        <v>41859</v>
      </c>
      <c r="I7" s="326" t="s">
        <v>610</v>
      </c>
    </row>
    <row r="8" spans="2:9" ht="408">
      <c r="B8" s="314" t="s">
        <v>511</v>
      </c>
      <c r="C8" s="315" t="s">
        <v>509</v>
      </c>
      <c r="D8" s="316">
        <v>41856</v>
      </c>
      <c r="E8" s="315" t="s">
        <v>513</v>
      </c>
      <c r="F8" s="316"/>
      <c r="G8" s="315" t="s">
        <v>512</v>
      </c>
      <c r="H8" s="316"/>
      <c r="I8" s="103" t="s">
        <v>607</v>
      </c>
    </row>
    <row r="9" spans="2:9" ht="38.25">
      <c r="B9" s="314" t="s">
        <v>508</v>
      </c>
      <c r="C9" s="315" t="s">
        <v>509</v>
      </c>
      <c r="D9" s="316">
        <v>41835</v>
      </c>
      <c r="E9" s="315"/>
      <c r="F9" s="316"/>
      <c r="G9" s="315"/>
      <c r="H9" s="316"/>
      <c r="I9" s="103" t="s">
        <v>510</v>
      </c>
    </row>
    <row r="10" spans="2:9" ht="153">
      <c r="B10" s="314" t="s">
        <v>496</v>
      </c>
      <c r="C10" s="315" t="s">
        <v>506</v>
      </c>
      <c r="D10" s="316">
        <v>41829</v>
      </c>
      <c r="E10" s="315" t="s">
        <v>505</v>
      </c>
      <c r="F10" s="316">
        <v>41829</v>
      </c>
      <c r="G10" s="315" t="s">
        <v>504</v>
      </c>
      <c r="H10" s="316">
        <v>41829</v>
      </c>
      <c r="I10" s="103" t="s">
        <v>507</v>
      </c>
    </row>
    <row r="11" spans="2:9" ht="153">
      <c r="B11" s="317" t="s">
        <v>455</v>
      </c>
      <c r="C11" s="318" t="s">
        <v>322</v>
      </c>
      <c r="D11" s="316">
        <v>41813</v>
      </c>
      <c r="E11" s="318"/>
      <c r="F11" s="318"/>
      <c r="G11" s="318"/>
      <c r="H11" s="318"/>
      <c r="I11" s="103" t="s">
        <v>472</v>
      </c>
    </row>
    <row r="12" spans="2:9" ht="165.75">
      <c r="B12" s="317"/>
      <c r="C12" s="318"/>
      <c r="D12" s="316"/>
      <c r="E12" s="318"/>
      <c r="F12" s="318"/>
      <c r="G12" s="318"/>
      <c r="H12" s="318"/>
      <c r="I12" s="103" t="s">
        <v>492</v>
      </c>
    </row>
    <row r="13" spans="2:9" ht="25.5">
      <c r="B13" s="317"/>
      <c r="C13" s="318"/>
      <c r="D13" s="316"/>
      <c r="E13" s="318"/>
      <c r="F13" s="318"/>
      <c r="G13" s="318"/>
      <c r="H13" s="318"/>
      <c r="I13" s="103" t="s">
        <v>493</v>
      </c>
    </row>
    <row r="14" spans="2:9" ht="38.25">
      <c r="B14" s="317" t="s">
        <v>452</v>
      </c>
      <c r="C14" s="318" t="s">
        <v>322</v>
      </c>
      <c r="D14" s="316">
        <v>41809</v>
      </c>
      <c r="E14" s="318"/>
      <c r="F14" s="318"/>
      <c r="G14" s="318"/>
      <c r="H14" s="318"/>
      <c r="I14" s="103" t="s">
        <v>486</v>
      </c>
    </row>
    <row r="15" spans="2:9" ht="12.75">
      <c r="B15" s="317" t="s">
        <v>451</v>
      </c>
      <c r="C15" s="318" t="s">
        <v>322</v>
      </c>
      <c r="D15" s="316">
        <v>41807</v>
      </c>
      <c r="E15" s="318"/>
      <c r="F15" s="318"/>
      <c r="G15" s="318"/>
      <c r="H15" s="318"/>
      <c r="I15" s="103" t="s">
        <v>453</v>
      </c>
    </row>
    <row r="16" spans="2:9" ht="25.5">
      <c r="B16" s="317" t="s">
        <v>428</v>
      </c>
      <c r="C16" s="318" t="s">
        <v>322</v>
      </c>
      <c r="D16" s="316">
        <v>41806</v>
      </c>
      <c r="E16" s="318"/>
      <c r="F16" s="318"/>
      <c r="G16" s="318"/>
      <c r="H16" s="318"/>
      <c r="I16" s="103" t="s">
        <v>446</v>
      </c>
    </row>
    <row r="17" spans="2:9" ht="38.25">
      <c r="B17" s="317" t="s">
        <v>388</v>
      </c>
      <c r="C17" s="318" t="s">
        <v>322</v>
      </c>
      <c r="D17" s="316">
        <v>41803</v>
      </c>
      <c r="E17" s="318"/>
      <c r="F17" s="318"/>
      <c r="G17" s="318"/>
      <c r="H17" s="318"/>
      <c r="I17" s="103" t="s">
        <v>420</v>
      </c>
    </row>
    <row r="18" spans="2:9" ht="38.25">
      <c r="B18" s="317" t="s">
        <v>386</v>
      </c>
      <c r="C18" s="318" t="s">
        <v>322</v>
      </c>
      <c r="D18" s="316">
        <v>41796</v>
      </c>
      <c r="E18" s="318"/>
      <c r="F18" s="318"/>
      <c r="G18" s="318"/>
      <c r="H18" s="318"/>
      <c r="I18" s="103" t="s">
        <v>387</v>
      </c>
    </row>
    <row r="19" spans="2:9" ht="38.25">
      <c r="B19" s="317" t="s">
        <v>321</v>
      </c>
      <c r="C19" s="318" t="s">
        <v>322</v>
      </c>
      <c r="D19" s="316">
        <v>41796</v>
      </c>
      <c r="E19" s="318"/>
      <c r="F19" s="318"/>
      <c r="G19" s="318"/>
      <c r="H19" s="318"/>
      <c r="I19" s="49" t="s">
        <v>323</v>
      </c>
    </row>
    <row r="20" spans="2:9" ht="51">
      <c r="B20" s="317" t="s">
        <v>279</v>
      </c>
      <c r="C20" s="318" t="s">
        <v>244</v>
      </c>
      <c r="D20" s="316">
        <v>41792</v>
      </c>
      <c r="E20" s="318"/>
      <c r="F20" s="318"/>
      <c r="G20" s="318"/>
      <c r="H20" s="318"/>
      <c r="I20" s="49" t="s">
        <v>291</v>
      </c>
    </row>
    <row r="21" spans="2:9" ht="90" thickBot="1">
      <c r="B21" s="317" t="s">
        <v>272</v>
      </c>
      <c r="C21" s="318" t="s">
        <v>244</v>
      </c>
      <c r="D21" s="316">
        <v>41789</v>
      </c>
      <c r="E21" s="318"/>
      <c r="F21" s="318"/>
      <c r="G21" s="318"/>
      <c r="H21" s="318"/>
      <c r="I21" s="49" t="s">
        <v>278</v>
      </c>
    </row>
    <row r="22" spans="1:9" ht="204">
      <c r="A22" s="54"/>
      <c r="B22" s="319" t="s">
        <v>243</v>
      </c>
      <c r="C22" s="320" t="s">
        <v>244</v>
      </c>
      <c r="D22" s="321">
        <v>41788</v>
      </c>
      <c r="E22" s="320"/>
      <c r="F22" s="320"/>
      <c r="G22" s="320"/>
      <c r="H22" s="320"/>
      <c r="I22" s="50" t="s">
        <v>269</v>
      </c>
    </row>
    <row r="23" spans="2:9" ht="12.75">
      <c r="B23" s="109"/>
      <c r="C23" s="242"/>
      <c r="D23" s="242"/>
      <c r="E23" s="242"/>
      <c r="F23" s="242"/>
      <c r="G23" s="242"/>
      <c r="H23" s="242"/>
      <c r="I23" s="243"/>
    </row>
    <row r="24" spans="2:9" ht="12.75">
      <c r="B24" s="109"/>
      <c r="C24" s="242"/>
      <c r="D24" s="242"/>
      <c r="E24" s="242"/>
      <c r="F24" s="242"/>
      <c r="G24" s="242"/>
      <c r="H24" s="242"/>
      <c r="I24" s="243"/>
    </row>
    <row r="25" spans="2:9" ht="12.75">
      <c r="B25" s="244"/>
      <c r="C25" s="212"/>
      <c r="D25" s="212"/>
      <c r="E25" s="212"/>
      <c r="F25" s="212"/>
      <c r="G25" s="212"/>
      <c r="H25" s="212"/>
      <c r="I25" s="243"/>
    </row>
    <row r="26" spans="2:9" ht="12.75">
      <c r="B26" s="244"/>
      <c r="C26" s="212"/>
      <c r="D26" s="212"/>
      <c r="E26" s="212"/>
      <c r="F26" s="212"/>
      <c r="G26" s="212"/>
      <c r="H26" s="212"/>
      <c r="I26" s="243"/>
    </row>
    <row r="27" spans="2:9" ht="12.75">
      <c r="B27" s="244"/>
      <c r="C27" s="212"/>
      <c r="D27" s="212"/>
      <c r="E27" s="212"/>
      <c r="F27" s="212"/>
      <c r="G27" s="212"/>
      <c r="H27" s="212"/>
      <c r="I27" s="243"/>
    </row>
    <row r="28" spans="2:9" ht="12.75">
      <c r="B28" s="244"/>
      <c r="C28" s="212"/>
      <c r="D28" s="212"/>
      <c r="E28" s="212"/>
      <c r="F28" s="212"/>
      <c r="G28" s="212"/>
      <c r="H28" s="212"/>
      <c r="I28" s="243"/>
    </row>
    <row r="29" spans="2:9" ht="12.75">
      <c r="B29" s="244"/>
      <c r="C29" s="212"/>
      <c r="D29" s="212"/>
      <c r="E29" s="212"/>
      <c r="F29" s="212"/>
      <c r="G29" s="212"/>
      <c r="H29" s="212"/>
      <c r="I29" s="243"/>
    </row>
    <row r="30" spans="2:9" ht="12.75">
      <c r="B30" s="244"/>
      <c r="C30" s="212"/>
      <c r="D30" s="212"/>
      <c r="E30" s="212"/>
      <c r="F30" s="212"/>
      <c r="G30" s="212"/>
      <c r="H30" s="212"/>
      <c r="I30" s="243"/>
    </row>
    <row r="31" spans="2:9" ht="12.75">
      <c r="B31" s="244"/>
      <c r="C31" s="212"/>
      <c r="D31" s="212"/>
      <c r="E31" s="212"/>
      <c r="F31" s="212"/>
      <c r="G31" s="212"/>
      <c r="H31" s="212"/>
      <c r="I31" s="243"/>
    </row>
    <row r="32" spans="2:9" ht="12.75">
      <c r="B32" s="244"/>
      <c r="C32" s="212"/>
      <c r="D32" s="212"/>
      <c r="E32" s="212"/>
      <c r="F32" s="212"/>
      <c r="G32" s="212"/>
      <c r="H32" s="212"/>
      <c r="I32" s="243"/>
    </row>
    <row r="33" spans="2:9" ht="12.75">
      <c r="B33" s="244"/>
      <c r="C33" s="212"/>
      <c r="D33" s="212"/>
      <c r="E33" s="212"/>
      <c r="F33" s="212"/>
      <c r="G33" s="212"/>
      <c r="H33" s="212"/>
      <c r="I33" s="243"/>
    </row>
    <row r="34" spans="2:9" ht="12.75">
      <c r="B34" s="244"/>
      <c r="C34" s="212"/>
      <c r="D34" s="212"/>
      <c r="E34" s="212"/>
      <c r="F34" s="212"/>
      <c r="G34" s="212"/>
      <c r="H34" s="212"/>
      <c r="I34" s="243"/>
    </row>
    <row r="35" spans="2:9" ht="12.75">
      <c r="B35" s="244"/>
      <c r="C35" s="212"/>
      <c r="D35" s="212"/>
      <c r="E35" s="212"/>
      <c r="F35" s="212"/>
      <c r="G35" s="212"/>
      <c r="H35" s="212"/>
      <c r="I35" s="243"/>
    </row>
    <row r="36" spans="2:9" ht="12.75">
      <c r="B36" s="244"/>
      <c r="C36" s="212"/>
      <c r="D36" s="212"/>
      <c r="E36" s="212"/>
      <c r="F36" s="212"/>
      <c r="G36" s="212"/>
      <c r="H36" s="212"/>
      <c r="I36" s="243"/>
    </row>
    <row r="37" spans="2:9" ht="12.75">
      <c r="B37" s="244"/>
      <c r="C37" s="212"/>
      <c r="D37" s="212"/>
      <c r="E37" s="212"/>
      <c r="F37" s="212"/>
      <c r="G37" s="212"/>
      <c r="H37" s="212"/>
      <c r="I37" s="243"/>
    </row>
    <row r="38" spans="2:9" ht="12.75">
      <c r="B38" s="244"/>
      <c r="C38" s="212"/>
      <c r="D38" s="212"/>
      <c r="E38" s="212"/>
      <c r="F38" s="212"/>
      <c r="G38" s="212"/>
      <c r="H38" s="212"/>
      <c r="I38" s="243"/>
    </row>
    <row r="39" spans="2:9" ht="12.75">
      <c r="B39" s="244"/>
      <c r="C39" s="212"/>
      <c r="D39" s="212"/>
      <c r="E39" s="212"/>
      <c r="F39" s="212"/>
      <c r="G39" s="212"/>
      <c r="H39" s="212"/>
      <c r="I39" s="243"/>
    </row>
    <row r="40" spans="2:9" ht="13.5" thickBot="1">
      <c r="B40" s="245"/>
      <c r="C40" s="246"/>
      <c r="D40" s="246"/>
      <c r="E40" s="246"/>
      <c r="F40" s="246"/>
      <c r="G40" s="246"/>
      <c r="H40" s="246"/>
      <c r="I40" s="24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10.xml><?xml version="1.0" encoding="utf-8"?>
<worksheet xmlns="http://schemas.openxmlformats.org/spreadsheetml/2006/main" xmlns:r="http://schemas.openxmlformats.org/officeDocument/2006/relationships">
  <sheetPr codeName="Sheet10">
    <tabColor rgb="FF92D050"/>
  </sheetPr>
  <dimension ref="B2:N69"/>
  <sheetViews>
    <sheetView zoomScalePageLayoutView="0" workbookViewId="0" topLeftCell="A1">
      <selection activeCell="E18" sqref="E18"/>
    </sheetView>
  </sheetViews>
  <sheetFormatPr defaultColWidth="9.140625" defaultRowHeight="12.75"/>
  <cols>
    <col min="1" max="1" width="9.140625" style="39" customWidth="1"/>
    <col min="2" max="2" width="13.28125" style="39" bestFit="1" customWidth="1"/>
    <col min="3" max="3" width="9.8515625" style="39" customWidth="1"/>
    <col min="4" max="4" width="29.28125" style="39" customWidth="1"/>
    <col min="5" max="12" width="12.57421875" style="304" customWidth="1"/>
    <col min="13" max="16384" width="9.140625" style="39" customWidth="1"/>
  </cols>
  <sheetData>
    <row r="2" spans="3:12" ht="12.75">
      <c r="C2" s="155" t="s">
        <v>585</v>
      </c>
      <c r="D2" s="154">
        <f>'User Interface'!C53</f>
        <v>0</v>
      </c>
      <c r="K2" s="304" t="s">
        <v>36</v>
      </c>
      <c r="L2" s="305">
        <f>'User Interface'!C11</f>
        <v>0</v>
      </c>
    </row>
    <row r="3" spans="4:12" ht="12.75">
      <c r="D3" s="154" t="s">
        <v>535</v>
      </c>
      <c r="E3" s="304">
        <f>'User Interface'!$C$17</f>
        <v>0</v>
      </c>
      <c r="L3" s="305"/>
    </row>
    <row r="5" spans="2:12" ht="12.75">
      <c r="B5" s="39" t="s">
        <v>523</v>
      </c>
      <c r="E5" s="304" t="str">
        <f>Lists!O6</f>
        <v>Pre 1917</v>
      </c>
      <c r="F5" s="304" t="str">
        <f>Lists!O7</f>
        <v>1918 to 1938</v>
      </c>
      <c r="G5" s="304" t="str">
        <f>Lists!O8</f>
        <v>1939 to 1959</v>
      </c>
      <c r="H5" s="304" t="str">
        <f>Lists!O9</f>
        <v>1960 to 1975</v>
      </c>
      <c r="I5" s="304" t="str">
        <f>Lists!O10</f>
        <v>1976 to 1982</v>
      </c>
      <c r="J5" s="304" t="str">
        <f>Lists!O11</f>
        <v>1983 to 1989</v>
      </c>
      <c r="K5" s="304" t="str">
        <f>Lists!O12</f>
        <v>1990 to 1999</v>
      </c>
      <c r="L5" s="304" t="str">
        <f>Lists!O13</f>
        <v>Post 2000</v>
      </c>
    </row>
    <row r="6" spans="2:14" ht="12.75">
      <c r="B6" s="39" t="s">
        <v>525</v>
      </c>
      <c r="D6" s="39" t="str">
        <f>Lists!Q6</f>
        <v>Detached house</v>
      </c>
      <c r="E6" s="304">
        <v>24571</v>
      </c>
      <c r="F6" s="304">
        <v>22382</v>
      </c>
      <c r="G6" s="304">
        <v>20026</v>
      </c>
      <c r="H6" s="304">
        <v>19278</v>
      </c>
      <c r="I6" s="304">
        <v>17698</v>
      </c>
      <c r="J6" s="304">
        <v>18086</v>
      </c>
      <c r="K6" s="304">
        <v>14074</v>
      </c>
      <c r="L6" s="304">
        <v>12368</v>
      </c>
      <c r="N6" s="39" t="s">
        <v>619</v>
      </c>
    </row>
    <row r="7" spans="4:12" ht="12.75">
      <c r="D7" s="39" t="str">
        <f>Lists!Q7</f>
        <v>Semi detached house (end terrace)</v>
      </c>
      <c r="E7" s="304">
        <v>16381</v>
      </c>
      <c r="F7" s="304">
        <v>14921</v>
      </c>
      <c r="G7" s="304">
        <v>13351</v>
      </c>
      <c r="H7" s="304">
        <v>12852</v>
      </c>
      <c r="I7" s="304">
        <v>11799</v>
      </c>
      <c r="J7" s="304">
        <v>12058</v>
      </c>
      <c r="K7" s="304">
        <v>9382</v>
      </c>
      <c r="L7" s="304">
        <v>8245</v>
      </c>
    </row>
    <row r="8" spans="4:12" ht="12.75">
      <c r="D8" s="39" t="str">
        <f>Lists!Q8</f>
        <v>Terraced house</v>
      </c>
      <c r="E8" s="304">
        <v>12833</v>
      </c>
      <c r="F8" s="304">
        <v>11712</v>
      </c>
      <c r="G8" s="304">
        <v>10546</v>
      </c>
      <c r="H8" s="304">
        <v>10168</v>
      </c>
      <c r="I8" s="304">
        <v>9392</v>
      </c>
      <c r="J8" s="304">
        <v>9591</v>
      </c>
      <c r="K8" s="304">
        <v>7583</v>
      </c>
      <c r="L8" s="304">
        <v>6697</v>
      </c>
    </row>
    <row r="9" spans="4:12" ht="12.75">
      <c r="D9" s="39" t="str">
        <f>Lists!Q9</f>
        <v>Flat</v>
      </c>
      <c r="E9" s="304">
        <v>8464</v>
      </c>
      <c r="F9" s="304">
        <v>7804</v>
      </c>
      <c r="G9" s="304">
        <v>7196</v>
      </c>
      <c r="H9" s="304">
        <v>6922</v>
      </c>
      <c r="I9" s="304">
        <v>6481</v>
      </c>
      <c r="J9" s="304">
        <v>6665</v>
      </c>
      <c r="K9" s="304">
        <v>5462</v>
      </c>
      <c r="L9" s="304">
        <v>4974</v>
      </c>
    </row>
    <row r="11" spans="5:12" ht="12.75">
      <c r="E11" s="304" t="str">
        <f aca="true" t="shared" si="0" ref="E11:L11">E5</f>
        <v>Pre 1917</v>
      </c>
      <c r="F11" s="304" t="str">
        <f t="shared" si="0"/>
        <v>1918 to 1938</v>
      </c>
      <c r="G11" s="304" t="str">
        <f t="shared" si="0"/>
        <v>1939 to 1959</v>
      </c>
      <c r="H11" s="304" t="str">
        <f t="shared" si="0"/>
        <v>1960 to 1975</v>
      </c>
      <c r="I11" s="304" t="str">
        <f t="shared" si="0"/>
        <v>1976 to 1982</v>
      </c>
      <c r="J11" s="304" t="str">
        <f t="shared" si="0"/>
        <v>1983 to 1989</v>
      </c>
      <c r="K11" s="304" t="str">
        <f t="shared" si="0"/>
        <v>1990 to 1999</v>
      </c>
      <c r="L11" s="304" t="str">
        <f t="shared" si="0"/>
        <v>Post 2000</v>
      </c>
    </row>
    <row r="12" spans="2:14" ht="12.75">
      <c r="B12" s="39" t="s">
        <v>72</v>
      </c>
      <c r="D12" s="39" t="str">
        <f>D6</f>
        <v>Detached house</v>
      </c>
      <c r="E12" s="304">
        <v>3154</v>
      </c>
      <c r="F12" s="304">
        <v>2845</v>
      </c>
      <c r="G12" s="304">
        <v>2845</v>
      </c>
      <c r="H12" s="304">
        <v>2845</v>
      </c>
      <c r="I12" s="304">
        <v>2662</v>
      </c>
      <c r="J12" s="304">
        <v>2662</v>
      </c>
      <c r="K12" s="304">
        <v>2662</v>
      </c>
      <c r="L12" s="304">
        <v>2662</v>
      </c>
      <c r="N12" s="39" t="s">
        <v>620</v>
      </c>
    </row>
    <row r="13" spans="2:12" ht="12.75">
      <c r="B13" s="39" t="s">
        <v>525</v>
      </c>
      <c r="D13" s="39" t="str">
        <f>D7</f>
        <v>Semi detached house (end terrace)</v>
      </c>
      <c r="E13" s="304">
        <v>3154</v>
      </c>
      <c r="F13" s="304">
        <v>2845</v>
      </c>
      <c r="G13" s="304">
        <v>2845</v>
      </c>
      <c r="H13" s="304">
        <v>2845</v>
      </c>
      <c r="I13" s="304">
        <v>2662</v>
      </c>
      <c r="J13" s="304">
        <v>2662</v>
      </c>
      <c r="K13" s="304">
        <v>2662</v>
      </c>
      <c r="L13" s="304">
        <v>2662</v>
      </c>
    </row>
    <row r="14" spans="4:12" ht="12.75">
      <c r="D14" s="39" t="str">
        <f>D8</f>
        <v>Terraced house</v>
      </c>
      <c r="E14" s="304">
        <v>3034</v>
      </c>
      <c r="F14" s="304">
        <v>2858</v>
      </c>
      <c r="G14" s="304">
        <v>2858</v>
      </c>
      <c r="H14" s="304">
        <v>2858</v>
      </c>
      <c r="I14" s="304">
        <v>2926</v>
      </c>
      <c r="J14" s="304">
        <v>2926</v>
      </c>
      <c r="K14" s="304">
        <v>2926</v>
      </c>
      <c r="L14" s="304">
        <v>2926</v>
      </c>
    </row>
    <row r="15" spans="4:12" ht="12.75">
      <c r="D15" s="39" t="str">
        <f>D9</f>
        <v>Flat</v>
      </c>
      <c r="E15" s="304">
        <v>2797</v>
      </c>
      <c r="F15" s="304">
        <v>2491</v>
      </c>
      <c r="G15" s="304">
        <v>2491</v>
      </c>
      <c r="H15" s="304">
        <v>2491</v>
      </c>
      <c r="I15" s="304">
        <v>2414</v>
      </c>
      <c r="J15" s="304">
        <v>2414</v>
      </c>
      <c r="K15" s="304">
        <v>2414</v>
      </c>
      <c r="L15" s="304">
        <v>2414</v>
      </c>
    </row>
    <row r="17" spans="5:12" ht="12.75">
      <c r="E17" s="304" t="str">
        <f>E5</f>
        <v>Pre 1917</v>
      </c>
      <c r="F17" s="304" t="str">
        <f aca="true" t="shared" si="1" ref="F17:L17">F5</f>
        <v>1918 to 1938</v>
      </c>
      <c r="G17" s="304" t="str">
        <f t="shared" si="1"/>
        <v>1939 to 1959</v>
      </c>
      <c r="H17" s="304" t="str">
        <f t="shared" si="1"/>
        <v>1960 to 1975</v>
      </c>
      <c r="I17" s="304" t="str">
        <f t="shared" si="1"/>
        <v>1976 to 1982</v>
      </c>
      <c r="J17" s="304" t="str">
        <f t="shared" si="1"/>
        <v>1983 to 1989</v>
      </c>
      <c r="K17" s="304" t="str">
        <f t="shared" si="1"/>
        <v>1990 to 1999</v>
      </c>
      <c r="L17" s="304" t="str">
        <f t="shared" si="1"/>
        <v>Post 2000</v>
      </c>
    </row>
    <row r="18" spans="2:12" ht="12.75">
      <c r="B18" s="39" t="s">
        <v>524</v>
      </c>
      <c r="D18" s="39" t="str">
        <f>D6</f>
        <v>Detached house</v>
      </c>
      <c r="E18" s="304">
        <f>E6-E12</f>
        <v>21417</v>
      </c>
      <c r="F18" s="304">
        <f aca="true" t="shared" si="2" ref="F18:L18">F6-F12</f>
        <v>19537</v>
      </c>
      <c r="G18" s="304">
        <f t="shared" si="2"/>
        <v>17181</v>
      </c>
      <c r="H18" s="304">
        <f t="shared" si="2"/>
        <v>16433</v>
      </c>
      <c r="I18" s="304">
        <f t="shared" si="2"/>
        <v>15036</v>
      </c>
      <c r="J18" s="304">
        <f t="shared" si="2"/>
        <v>15424</v>
      </c>
      <c r="K18" s="304">
        <f t="shared" si="2"/>
        <v>11412</v>
      </c>
      <c r="L18" s="304">
        <f t="shared" si="2"/>
        <v>9706</v>
      </c>
    </row>
    <row r="19" spans="2:12" ht="12.75">
      <c r="B19" s="39" t="s">
        <v>525</v>
      </c>
      <c r="D19" s="39" t="str">
        <f>D7</f>
        <v>Semi detached house (end terrace)</v>
      </c>
      <c r="E19" s="304">
        <f aca="true" t="shared" si="3" ref="E19:L21">E7-E13</f>
        <v>13227</v>
      </c>
      <c r="F19" s="304">
        <f t="shared" si="3"/>
        <v>12076</v>
      </c>
      <c r="G19" s="304">
        <f t="shared" si="3"/>
        <v>10506</v>
      </c>
      <c r="H19" s="304">
        <f t="shared" si="3"/>
        <v>10007</v>
      </c>
      <c r="I19" s="304">
        <f t="shared" si="3"/>
        <v>9137</v>
      </c>
      <c r="J19" s="304">
        <f t="shared" si="3"/>
        <v>9396</v>
      </c>
      <c r="K19" s="304">
        <f t="shared" si="3"/>
        <v>6720</v>
      </c>
      <c r="L19" s="304">
        <f t="shared" si="3"/>
        <v>5583</v>
      </c>
    </row>
    <row r="20" spans="4:12" ht="12.75">
      <c r="D20" s="39" t="str">
        <f>D8</f>
        <v>Terraced house</v>
      </c>
      <c r="E20" s="304">
        <f t="shared" si="3"/>
        <v>9799</v>
      </c>
      <c r="F20" s="304">
        <f t="shared" si="3"/>
        <v>8854</v>
      </c>
      <c r="G20" s="304">
        <f t="shared" si="3"/>
        <v>7688</v>
      </c>
      <c r="H20" s="304">
        <f t="shared" si="3"/>
        <v>7310</v>
      </c>
      <c r="I20" s="304">
        <f t="shared" si="3"/>
        <v>6466</v>
      </c>
      <c r="J20" s="304">
        <f t="shared" si="3"/>
        <v>6665</v>
      </c>
      <c r="K20" s="304">
        <f t="shared" si="3"/>
        <v>4657</v>
      </c>
      <c r="L20" s="304">
        <f t="shared" si="3"/>
        <v>3771</v>
      </c>
    </row>
    <row r="21" spans="4:12" ht="12.75">
      <c r="D21" s="39" t="str">
        <f>D9</f>
        <v>Flat</v>
      </c>
      <c r="E21" s="304">
        <f t="shared" si="3"/>
        <v>5667</v>
      </c>
      <c r="F21" s="304">
        <f t="shared" si="3"/>
        <v>5313</v>
      </c>
      <c r="G21" s="304">
        <f t="shared" si="3"/>
        <v>4705</v>
      </c>
      <c r="H21" s="304">
        <f t="shared" si="3"/>
        <v>4431</v>
      </c>
      <c r="I21" s="304">
        <f t="shared" si="3"/>
        <v>4067</v>
      </c>
      <c r="J21" s="304">
        <f t="shared" si="3"/>
        <v>4251</v>
      </c>
      <c r="K21" s="304">
        <f t="shared" si="3"/>
        <v>3048</v>
      </c>
      <c r="L21" s="304">
        <f t="shared" si="3"/>
        <v>2560</v>
      </c>
    </row>
    <row r="23" ht="12.75">
      <c r="B23" s="39" t="s">
        <v>467</v>
      </c>
    </row>
    <row r="24" spans="2:12" ht="12.75">
      <c r="B24" s="39" t="s">
        <v>71</v>
      </c>
      <c r="E24" s="304" t="str">
        <f>E5</f>
        <v>Pre 1917</v>
      </c>
      <c r="F24" s="304" t="str">
        <f aca="true" t="shared" si="4" ref="F24:L24">F5</f>
        <v>1918 to 1938</v>
      </c>
      <c r="G24" s="304" t="str">
        <f t="shared" si="4"/>
        <v>1939 to 1959</v>
      </c>
      <c r="H24" s="304" t="str">
        <f t="shared" si="4"/>
        <v>1960 to 1975</v>
      </c>
      <c r="I24" s="304" t="str">
        <f t="shared" si="4"/>
        <v>1976 to 1982</v>
      </c>
      <c r="J24" s="304" t="str">
        <f t="shared" si="4"/>
        <v>1983 to 1989</v>
      </c>
      <c r="K24" s="304" t="str">
        <f t="shared" si="4"/>
        <v>1990 to 1999</v>
      </c>
      <c r="L24" s="304" t="str">
        <f t="shared" si="4"/>
        <v>Post 2000</v>
      </c>
    </row>
    <row r="25" spans="2:12" ht="12.75">
      <c r="B25" s="39" t="s">
        <v>525</v>
      </c>
      <c r="D25" s="39" t="str">
        <f>D6</f>
        <v>Detached house</v>
      </c>
      <c r="E25" s="304" t="e">
        <f>E18*(1+(VLOOKUP($L$2,'Non-dom Benchmarks'!$N$6:$O$23,2,0)*0.01))</f>
        <v>#N/A</v>
      </c>
      <c r="F25" s="304" t="e">
        <f>F18*(1+(VLOOKUP($L$2,'Non-dom Benchmarks'!$N$6:$O$23,2,0)*0.01))</f>
        <v>#N/A</v>
      </c>
      <c r="G25" s="304" t="e">
        <f>G18*(1+(VLOOKUP($L$2,'Non-dom Benchmarks'!$N$6:$O$23,2,0)*0.01))</f>
        <v>#N/A</v>
      </c>
      <c r="H25" s="304" t="e">
        <f>H18*(1+(VLOOKUP($L$2,'Non-dom Benchmarks'!$N$6:$O$23,2,0)*0.01))</f>
        <v>#N/A</v>
      </c>
      <c r="I25" s="304" t="e">
        <f>I18*(1+(VLOOKUP($L$2,'Non-dom Benchmarks'!$N$6:$O$23,2,0)*0.01))</f>
        <v>#N/A</v>
      </c>
      <c r="J25" s="304" t="e">
        <f>J18*(1+(VLOOKUP($L$2,'Non-dom Benchmarks'!$N$6:$O$23,2,0)*0.01))</f>
        <v>#N/A</v>
      </c>
      <c r="K25" s="304" t="e">
        <f>K18*(1+(VLOOKUP($L$2,'Non-dom Benchmarks'!$N$6:$O$23,2,0)*0.01))</f>
        <v>#N/A</v>
      </c>
      <c r="L25" s="304" t="e">
        <f>L18*(1+(VLOOKUP($L$2,'Non-dom Benchmarks'!$N$6:$O$23,2,0)*0.01))</f>
        <v>#N/A</v>
      </c>
    </row>
    <row r="26" spans="4:12" ht="12.75">
      <c r="D26" s="39" t="str">
        <f>D7</f>
        <v>Semi detached house (end terrace)</v>
      </c>
      <c r="E26" s="304" t="e">
        <f>E19*(1+(VLOOKUP($L$2,'Non-dom Benchmarks'!$N$6:$O$23,2,0)*0.01))</f>
        <v>#N/A</v>
      </c>
      <c r="F26" s="304" t="e">
        <f>F19*(1+(VLOOKUP($L$2,'Non-dom Benchmarks'!$N$6:$O$23,2,0)*0.01))</f>
        <v>#N/A</v>
      </c>
      <c r="G26" s="304" t="e">
        <f>G19*(1+(VLOOKUP($L$2,'Non-dom Benchmarks'!$N$6:$O$23,2,0)*0.01))</f>
        <v>#N/A</v>
      </c>
      <c r="H26" s="304" t="e">
        <f>H19*(1+(VLOOKUP($L$2,'Non-dom Benchmarks'!$N$6:$O$23,2,0)*0.01))</f>
        <v>#N/A</v>
      </c>
      <c r="I26" s="304" t="e">
        <f>I19*(1+(VLOOKUP($L$2,'Non-dom Benchmarks'!$N$6:$O$23,2,0)*0.01))</f>
        <v>#N/A</v>
      </c>
      <c r="J26" s="304" t="e">
        <f>J19*(1+(VLOOKUP($L$2,'Non-dom Benchmarks'!$N$6:$O$23,2,0)*0.01))</f>
        <v>#N/A</v>
      </c>
      <c r="K26" s="304" t="e">
        <f>K19*(1+(VLOOKUP($L$2,'Non-dom Benchmarks'!$N$6:$O$23,2,0)*0.01))</f>
        <v>#N/A</v>
      </c>
      <c r="L26" s="304" t="e">
        <f>L19*(1+(VLOOKUP($L$2,'Non-dom Benchmarks'!$N$6:$O$23,2,0)*0.01))</f>
        <v>#N/A</v>
      </c>
    </row>
    <row r="27" spans="4:12" ht="12.75">
      <c r="D27" s="39" t="str">
        <f>D8</f>
        <v>Terraced house</v>
      </c>
      <c r="E27" s="304" t="e">
        <f>E20*(1+(VLOOKUP($L$2,'Non-dom Benchmarks'!$N$6:$O$23,2,0)*0.01))</f>
        <v>#N/A</v>
      </c>
      <c r="F27" s="304" t="e">
        <f>F20*(1+(VLOOKUP($L$2,'Non-dom Benchmarks'!$N$6:$O$23,2,0)*0.01))</f>
        <v>#N/A</v>
      </c>
      <c r="G27" s="304" t="e">
        <f>G20*(1+(VLOOKUP($L$2,'Non-dom Benchmarks'!$N$6:$O$23,2,0)*0.01))</f>
        <v>#N/A</v>
      </c>
      <c r="H27" s="304" t="e">
        <f>H20*(1+(VLOOKUP($L$2,'Non-dom Benchmarks'!$N$6:$O$23,2,0)*0.01))</f>
        <v>#N/A</v>
      </c>
      <c r="I27" s="304" t="e">
        <f>I20*(1+(VLOOKUP($L$2,'Non-dom Benchmarks'!$N$6:$O$23,2,0)*0.01))</f>
        <v>#N/A</v>
      </c>
      <c r="J27" s="304" t="e">
        <f>J20*(1+(VLOOKUP($L$2,'Non-dom Benchmarks'!$N$6:$O$23,2,0)*0.01))</f>
        <v>#N/A</v>
      </c>
      <c r="K27" s="304" t="e">
        <f>K20*(1+(VLOOKUP($L$2,'Non-dom Benchmarks'!$N$6:$O$23,2,0)*0.01))</f>
        <v>#N/A</v>
      </c>
      <c r="L27" s="304" t="e">
        <f>L20*(1+(VLOOKUP($L$2,'Non-dom Benchmarks'!$N$6:$O$23,2,0)*0.01))</f>
        <v>#N/A</v>
      </c>
    </row>
    <row r="28" spans="4:12" ht="12.75">
      <c r="D28" s="39" t="str">
        <f>D9</f>
        <v>Flat</v>
      </c>
      <c r="E28" s="304" t="e">
        <f>E21*(1+(VLOOKUP($L$2,'Non-dom Benchmarks'!$N$6:$O$23,2,0)*0.01))</f>
        <v>#N/A</v>
      </c>
      <c r="F28" s="304" t="e">
        <f>F21*(1+(VLOOKUP($L$2,'Non-dom Benchmarks'!$N$6:$O$23,2,0)*0.01))</f>
        <v>#N/A</v>
      </c>
      <c r="G28" s="304" t="e">
        <f>G21*(1+(VLOOKUP($L$2,'Non-dom Benchmarks'!$N$6:$O$23,2,0)*0.01))</f>
        <v>#N/A</v>
      </c>
      <c r="H28" s="304" t="e">
        <f>H21*(1+(VLOOKUP($L$2,'Non-dom Benchmarks'!$N$6:$O$23,2,0)*0.01))</f>
        <v>#N/A</v>
      </c>
      <c r="I28" s="304" t="e">
        <f>I21*(1+(VLOOKUP($L$2,'Non-dom Benchmarks'!$N$6:$O$23,2,0)*0.01))</f>
        <v>#N/A</v>
      </c>
      <c r="J28" s="304" t="e">
        <f>J21*(1+(VLOOKUP($L$2,'Non-dom Benchmarks'!$N$6:$O$23,2,0)*0.01))</f>
        <v>#N/A</v>
      </c>
      <c r="K28" s="304" t="e">
        <f>K21*(1+(VLOOKUP($L$2,'Non-dom Benchmarks'!$N$6:$O$23,2,0)*0.01))</f>
        <v>#N/A</v>
      </c>
      <c r="L28" s="304" t="e">
        <f>L21*(1+(VLOOKUP($L$2,'Non-dom Benchmarks'!$N$6:$O$23,2,0)*0.01))</f>
        <v>#N/A</v>
      </c>
    </row>
    <row r="30" spans="5:12" ht="12.75">
      <c r="E30" s="304" t="str">
        <f>E5</f>
        <v>Pre 1917</v>
      </c>
      <c r="F30" s="304" t="str">
        <f aca="true" t="shared" si="5" ref="F30:L30">F5</f>
        <v>1918 to 1938</v>
      </c>
      <c r="G30" s="304" t="str">
        <f t="shared" si="5"/>
        <v>1939 to 1959</v>
      </c>
      <c r="H30" s="304" t="str">
        <f t="shared" si="5"/>
        <v>1960 to 1975</v>
      </c>
      <c r="I30" s="304" t="str">
        <f t="shared" si="5"/>
        <v>1976 to 1982</v>
      </c>
      <c r="J30" s="304" t="str">
        <f t="shared" si="5"/>
        <v>1983 to 1989</v>
      </c>
      <c r="K30" s="304" t="str">
        <f t="shared" si="5"/>
        <v>1990 to 1999</v>
      </c>
      <c r="L30" s="304" t="str">
        <f t="shared" si="5"/>
        <v>Post 2000</v>
      </c>
    </row>
    <row r="31" spans="2:12" ht="12.75">
      <c r="B31" s="39" t="s">
        <v>73</v>
      </c>
      <c r="D31" s="39" t="str">
        <f>D6</f>
        <v>Detached house</v>
      </c>
      <c r="E31" s="304" t="e">
        <f>E25+IF($D$2&lt;&gt;Lists!$AA$37,E12,0)</f>
        <v>#N/A</v>
      </c>
      <c r="F31" s="304" t="e">
        <f>F25+IF($D$2&lt;&gt;Lists!$AA$37,F12,0)</f>
        <v>#N/A</v>
      </c>
      <c r="G31" s="304" t="e">
        <f>G25+IF($D$2&lt;&gt;Lists!$AA$37,G12,0)</f>
        <v>#N/A</v>
      </c>
      <c r="H31" s="304" t="e">
        <f>H25+IF($D$2&lt;&gt;Lists!$AA$37,H12,0)</f>
        <v>#N/A</v>
      </c>
      <c r="I31" s="304" t="e">
        <f>I25+IF($D$2&lt;&gt;Lists!$AA$37,I12,0)</f>
        <v>#N/A</v>
      </c>
      <c r="J31" s="304" t="e">
        <f>J25+IF($D$2&lt;&gt;Lists!$AA$37,J12,0)</f>
        <v>#N/A</v>
      </c>
      <c r="K31" s="304" t="e">
        <f>K25+IF($D$2&lt;&gt;Lists!$AA$37,K12,0)</f>
        <v>#N/A</v>
      </c>
      <c r="L31" s="304" t="e">
        <f>L25+IF($D$2&lt;&gt;Lists!$AA$37,L12,0)</f>
        <v>#N/A</v>
      </c>
    </row>
    <row r="32" spans="2:12" ht="12.75">
      <c r="B32" s="39" t="s">
        <v>525</v>
      </c>
      <c r="D32" s="39" t="str">
        <f>D7</f>
        <v>Semi detached house (end terrace)</v>
      </c>
      <c r="E32" s="304" t="e">
        <f>E26+IF($D$2&lt;&gt;Lists!$AA$37,E13,0)</f>
        <v>#N/A</v>
      </c>
      <c r="F32" s="304" t="e">
        <f>F26+IF($D$2&lt;&gt;Lists!$AA$37,F13,0)</f>
        <v>#N/A</v>
      </c>
      <c r="G32" s="304" t="e">
        <f>G26+IF($D$2&lt;&gt;Lists!$AA$37,G13,0)</f>
        <v>#N/A</v>
      </c>
      <c r="H32" s="304" t="e">
        <f>H26+IF($D$2&lt;&gt;Lists!$AA$37,H13,0)</f>
        <v>#N/A</v>
      </c>
      <c r="I32" s="304" t="e">
        <f>I26+IF($D$2&lt;&gt;Lists!$AA$37,I13,0)</f>
        <v>#N/A</v>
      </c>
      <c r="J32" s="304" t="e">
        <f>J26+IF($D$2&lt;&gt;Lists!$AA$37,J13,0)</f>
        <v>#N/A</v>
      </c>
      <c r="K32" s="304" t="e">
        <f>K26+IF($D$2&lt;&gt;Lists!$AA$37,K13,0)</f>
        <v>#N/A</v>
      </c>
      <c r="L32" s="304" t="e">
        <f>L26+IF($D$2&lt;&gt;Lists!$AA$37,L13,0)</f>
        <v>#N/A</v>
      </c>
    </row>
    <row r="33" spans="4:12" ht="12.75">
      <c r="D33" s="39" t="str">
        <f>D8</f>
        <v>Terraced house</v>
      </c>
      <c r="E33" s="304" t="e">
        <f>E27+IF($D$2&lt;&gt;Lists!$AA$37,E14,0)</f>
        <v>#N/A</v>
      </c>
      <c r="F33" s="304" t="e">
        <f>F27+IF($D$2&lt;&gt;Lists!$AA$37,F14,0)</f>
        <v>#N/A</v>
      </c>
      <c r="G33" s="304" t="e">
        <f>G27+IF($D$2&lt;&gt;Lists!$AA$37,G14,0)</f>
        <v>#N/A</v>
      </c>
      <c r="H33" s="304" t="e">
        <f>H27+IF($D$2&lt;&gt;Lists!$AA$37,H14,0)</f>
        <v>#N/A</v>
      </c>
      <c r="I33" s="304" t="e">
        <f>I27+IF($D$2&lt;&gt;Lists!$AA$37,I14,0)</f>
        <v>#N/A</v>
      </c>
      <c r="J33" s="304" t="e">
        <f>J27+IF($D$2&lt;&gt;Lists!$AA$37,J14,0)</f>
        <v>#N/A</v>
      </c>
      <c r="K33" s="304" t="e">
        <f>K27+IF($D$2&lt;&gt;Lists!$AA$37,K14,0)</f>
        <v>#N/A</v>
      </c>
      <c r="L33" s="304" t="e">
        <f>L27+IF($D$2&lt;&gt;Lists!$AA$37,L14,0)</f>
        <v>#N/A</v>
      </c>
    </row>
    <row r="34" spans="4:12" ht="12.75">
      <c r="D34" s="39" t="str">
        <f>D9</f>
        <v>Flat</v>
      </c>
      <c r="E34" s="304" t="e">
        <f>E28+IF($D$2&lt;&gt;Lists!$AA$37,E15,0)</f>
        <v>#N/A</v>
      </c>
      <c r="F34" s="304" t="e">
        <f>F28+IF($D$2&lt;&gt;Lists!$AA$37,F15,0)</f>
        <v>#N/A</v>
      </c>
      <c r="G34" s="304" t="e">
        <f>G28+IF($D$2&lt;&gt;Lists!$AA$37,G15,0)</f>
        <v>#N/A</v>
      </c>
      <c r="H34" s="304" t="e">
        <f>H28+IF($D$2&lt;&gt;Lists!$AA$37,H15,0)</f>
        <v>#N/A</v>
      </c>
      <c r="I34" s="304" t="e">
        <f>I28+IF($D$2&lt;&gt;Lists!$AA$37,I15,0)</f>
        <v>#N/A</v>
      </c>
      <c r="J34" s="304" t="e">
        <f>J28+IF($D$2&lt;&gt;Lists!$AA$37,J15,0)</f>
        <v>#N/A</v>
      </c>
      <c r="K34" s="304" t="e">
        <f>K28+IF($D$2&lt;&gt;Lists!$AA$37,K15,0)</f>
        <v>#N/A</v>
      </c>
      <c r="L34" s="304" t="e">
        <f>L28+IF($D$2&lt;&gt;Lists!$AA$37,L15,0)</f>
        <v>#N/A</v>
      </c>
    </row>
    <row r="37" spans="5:12" ht="12.75">
      <c r="E37" s="304" t="str">
        <f>E5</f>
        <v>Pre 1917</v>
      </c>
      <c r="F37" s="304" t="str">
        <f aca="true" t="shared" si="6" ref="F37:L37">F5</f>
        <v>1918 to 1938</v>
      </c>
      <c r="G37" s="304" t="str">
        <f t="shared" si="6"/>
        <v>1939 to 1959</v>
      </c>
      <c r="H37" s="304" t="str">
        <f t="shared" si="6"/>
        <v>1960 to 1975</v>
      </c>
      <c r="I37" s="304" t="str">
        <f t="shared" si="6"/>
        <v>1976 to 1982</v>
      </c>
      <c r="J37" s="304" t="str">
        <f t="shared" si="6"/>
        <v>1983 to 1989</v>
      </c>
      <c r="K37" s="304" t="str">
        <f t="shared" si="6"/>
        <v>1990 to 1999</v>
      </c>
      <c r="L37" s="304" t="str">
        <f t="shared" si="6"/>
        <v>Post 2000</v>
      </c>
    </row>
    <row r="38" spans="2:12" ht="12.75">
      <c r="B38" s="39" t="s">
        <v>561</v>
      </c>
      <c r="D38" s="39" t="str">
        <f>D6</f>
        <v>Detached house</v>
      </c>
      <c r="E38" s="304" t="e">
        <f>IF($E$3="Yes",0,E25)+IF($D$2&lt;&gt;Lists!$AA$37,E12,0)</f>
        <v>#N/A</v>
      </c>
      <c r="F38" s="304" t="e">
        <f>IF($E$3="Yes",0,F25)+IF($D$2&lt;&gt;Lists!$AA$37,F12,0)</f>
        <v>#N/A</v>
      </c>
      <c r="G38" s="304" t="e">
        <f>IF($E$3="Yes",0,G25)+IF($D$2&lt;&gt;Lists!$AA$37,G12,0)</f>
        <v>#N/A</v>
      </c>
      <c r="H38" s="304" t="e">
        <f>IF($E$3="Yes",0,H25)+IF($D$2&lt;&gt;Lists!$AA$37,H12,0)</f>
        <v>#N/A</v>
      </c>
      <c r="I38" s="304" t="e">
        <f>IF($E$3="Yes",0,I25)+IF($D$2&lt;&gt;Lists!$AA$37,I12,0)</f>
        <v>#N/A</v>
      </c>
      <c r="J38" s="304" t="e">
        <f>IF($E$3="Yes",0,J25)+IF($D$2&lt;&gt;Lists!$AA$37,J12,0)</f>
        <v>#N/A</v>
      </c>
      <c r="K38" s="304" t="e">
        <f>IF($E$3="Yes",0,K25)+IF($D$2&lt;&gt;Lists!$AA$37,K12,0)</f>
        <v>#N/A</v>
      </c>
      <c r="L38" s="304" t="e">
        <f>IF($E$3="Yes",0,L25)+IF($D$2&lt;&gt;Lists!$AA$37,L12,0)</f>
        <v>#N/A</v>
      </c>
    </row>
    <row r="39" spans="2:12" ht="12.75">
      <c r="B39" s="39" t="s">
        <v>525</v>
      </c>
      <c r="D39" s="39" t="str">
        <f>D7</f>
        <v>Semi detached house (end terrace)</v>
      </c>
      <c r="E39" s="304" t="e">
        <f>IF($E$3="Yes",0,E26)+IF($D$2&lt;&gt;Lists!$AA$37,E13,0)</f>
        <v>#N/A</v>
      </c>
      <c r="F39" s="304" t="e">
        <f>IF($E$3="Yes",0,F26)+IF($D$2&lt;&gt;Lists!$AA$37,F13,0)</f>
        <v>#N/A</v>
      </c>
      <c r="G39" s="304" t="e">
        <f>IF($E$3="Yes",0,G26)+IF($D$2&lt;&gt;Lists!$AA$37,G13,0)</f>
        <v>#N/A</v>
      </c>
      <c r="H39" s="304" t="e">
        <f>IF($E$3="Yes",0,H26)+IF($D$2&lt;&gt;Lists!$AA$37,H13,0)</f>
        <v>#N/A</v>
      </c>
      <c r="I39" s="304" t="e">
        <f>IF($E$3="Yes",0,I26)+IF($D$2&lt;&gt;Lists!$AA$37,I13,0)</f>
        <v>#N/A</v>
      </c>
      <c r="J39" s="304" t="e">
        <f>IF($E$3="Yes",0,J26)+IF($D$2&lt;&gt;Lists!$AA$37,J13,0)</f>
        <v>#N/A</v>
      </c>
      <c r="K39" s="304" t="e">
        <f>IF($E$3="Yes",0,K26)+IF($D$2&lt;&gt;Lists!$AA$37,K13,0)</f>
        <v>#N/A</v>
      </c>
      <c r="L39" s="304" t="e">
        <f>IF($E$3="Yes",0,L26)+IF($D$2&lt;&gt;Lists!$AA$37,L13,0)</f>
        <v>#N/A</v>
      </c>
    </row>
    <row r="40" spans="4:12" ht="12.75">
      <c r="D40" s="39" t="str">
        <f>D8</f>
        <v>Terraced house</v>
      </c>
      <c r="E40" s="304" t="e">
        <f>IF($E$3="Yes",0,E27)+IF($D$2&lt;&gt;Lists!$AA$37,E14,0)</f>
        <v>#N/A</v>
      </c>
      <c r="F40" s="304" t="e">
        <f>IF($E$3="Yes",0,F27)+IF($D$2&lt;&gt;Lists!$AA$37,F14,0)</f>
        <v>#N/A</v>
      </c>
      <c r="G40" s="304" t="e">
        <f>IF($E$3="Yes",0,G27)+IF($D$2&lt;&gt;Lists!$AA$37,G14,0)</f>
        <v>#N/A</v>
      </c>
      <c r="H40" s="304" t="e">
        <f>IF($E$3="Yes",0,H27)+IF($D$2&lt;&gt;Lists!$AA$37,H14,0)</f>
        <v>#N/A</v>
      </c>
      <c r="I40" s="304" t="e">
        <f>IF($E$3="Yes",0,I27)+IF($D$2&lt;&gt;Lists!$AA$37,I14,0)</f>
        <v>#N/A</v>
      </c>
      <c r="J40" s="304" t="e">
        <f>IF($E$3="Yes",0,J27)+IF($D$2&lt;&gt;Lists!$AA$37,J14,0)</f>
        <v>#N/A</v>
      </c>
      <c r="K40" s="304" t="e">
        <f>IF($E$3="Yes",0,K27)+IF($D$2&lt;&gt;Lists!$AA$37,K14,0)</f>
        <v>#N/A</v>
      </c>
      <c r="L40" s="304" t="e">
        <f>IF($E$3="Yes",0,L27)+IF($D$2&lt;&gt;Lists!$AA$37,L14,0)</f>
        <v>#N/A</v>
      </c>
    </row>
    <row r="41" spans="4:12" ht="12.75">
      <c r="D41" s="39" t="str">
        <f>D9</f>
        <v>Flat</v>
      </c>
      <c r="E41" s="304" t="e">
        <f>IF($E$3="Yes",0,E28)+IF($D$2&lt;&gt;Lists!$AA$37,E15,0)</f>
        <v>#N/A</v>
      </c>
      <c r="F41" s="304" t="e">
        <f>IF($E$3="Yes",0,F28)+IF($D$2&lt;&gt;Lists!$AA$37,F15,0)</f>
        <v>#N/A</v>
      </c>
      <c r="G41" s="304" t="e">
        <f>IF($E$3="Yes",0,G28)+IF($D$2&lt;&gt;Lists!$AA$37,G15,0)</f>
        <v>#N/A</v>
      </c>
      <c r="H41" s="304" t="e">
        <f>IF($E$3="Yes",0,H28)+IF($D$2&lt;&gt;Lists!$AA$37,H15,0)</f>
        <v>#N/A</v>
      </c>
      <c r="I41" s="304" t="e">
        <f>IF($E$3="Yes",0,I28)+IF($D$2&lt;&gt;Lists!$AA$37,I15,0)</f>
        <v>#N/A</v>
      </c>
      <c r="J41" s="304" t="e">
        <f>IF($E$3="Yes",0,J28)+IF($D$2&lt;&gt;Lists!$AA$37,J15,0)</f>
        <v>#N/A</v>
      </c>
      <c r="K41" s="304" t="e">
        <f>IF($E$3="Yes",0,K28)+IF($D$2&lt;&gt;Lists!$AA$37,K15,0)</f>
        <v>#N/A</v>
      </c>
      <c r="L41" s="304" t="e">
        <f>IF($E$3="Yes",0,L28)+IF($D$2&lt;&gt;Lists!$AA$37,L15,0)</f>
        <v>#N/A</v>
      </c>
    </row>
    <row r="43" spans="5:12" ht="12.75">
      <c r="E43" s="304" t="str">
        <f>E5</f>
        <v>Pre 1917</v>
      </c>
      <c r="F43" s="304" t="str">
        <f aca="true" t="shared" si="7" ref="F43:L43">F5</f>
        <v>1918 to 1938</v>
      </c>
      <c r="G43" s="304" t="str">
        <f t="shared" si="7"/>
        <v>1939 to 1959</v>
      </c>
      <c r="H43" s="304" t="str">
        <f t="shared" si="7"/>
        <v>1960 to 1975</v>
      </c>
      <c r="I43" s="304" t="str">
        <f t="shared" si="7"/>
        <v>1976 to 1982</v>
      </c>
      <c r="J43" s="304" t="str">
        <f t="shared" si="7"/>
        <v>1983 to 1989</v>
      </c>
      <c r="K43" s="304" t="str">
        <f t="shared" si="7"/>
        <v>1990 to 1999</v>
      </c>
      <c r="L43" s="304" t="str">
        <f t="shared" si="7"/>
        <v>Post 2000</v>
      </c>
    </row>
    <row r="44" spans="2:12" ht="12.75">
      <c r="B44" s="39" t="s">
        <v>530</v>
      </c>
      <c r="D44" s="39" t="str">
        <f>D6</f>
        <v>Detached house</v>
      </c>
      <c r="E44" s="306" t="e">
        <f>E25/E31</f>
        <v>#N/A</v>
      </c>
      <c r="F44" s="306" t="e">
        <f aca="true" t="shared" si="8" ref="F44:L44">F25/F31</f>
        <v>#N/A</v>
      </c>
      <c r="G44" s="306" t="e">
        <f t="shared" si="8"/>
        <v>#N/A</v>
      </c>
      <c r="H44" s="306" t="e">
        <f t="shared" si="8"/>
        <v>#N/A</v>
      </c>
      <c r="I44" s="306" t="e">
        <f t="shared" si="8"/>
        <v>#N/A</v>
      </c>
      <c r="J44" s="306" t="e">
        <f t="shared" si="8"/>
        <v>#N/A</v>
      </c>
      <c r="K44" s="306" t="e">
        <f t="shared" si="8"/>
        <v>#N/A</v>
      </c>
      <c r="L44" s="306" t="e">
        <f t="shared" si="8"/>
        <v>#N/A</v>
      </c>
    </row>
    <row r="45" spans="2:12" ht="12.75">
      <c r="B45" s="39" t="s">
        <v>526</v>
      </c>
      <c r="D45" s="39" t="str">
        <f>D7</f>
        <v>Semi detached house (end terrace)</v>
      </c>
      <c r="E45" s="306" t="e">
        <f aca="true" t="shared" si="9" ref="E45:L47">E26/E32</f>
        <v>#N/A</v>
      </c>
      <c r="F45" s="306" t="e">
        <f t="shared" si="9"/>
        <v>#N/A</v>
      </c>
      <c r="G45" s="306" t="e">
        <f t="shared" si="9"/>
        <v>#N/A</v>
      </c>
      <c r="H45" s="306" t="e">
        <f t="shared" si="9"/>
        <v>#N/A</v>
      </c>
      <c r="I45" s="306" t="e">
        <f t="shared" si="9"/>
        <v>#N/A</v>
      </c>
      <c r="J45" s="306" t="e">
        <f t="shared" si="9"/>
        <v>#N/A</v>
      </c>
      <c r="K45" s="306" t="e">
        <f t="shared" si="9"/>
        <v>#N/A</v>
      </c>
      <c r="L45" s="306" t="e">
        <f t="shared" si="9"/>
        <v>#N/A</v>
      </c>
    </row>
    <row r="46" spans="4:12" ht="12.75">
      <c r="D46" s="39" t="str">
        <f>D8</f>
        <v>Terraced house</v>
      </c>
      <c r="E46" s="306" t="e">
        <f t="shared" si="9"/>
        <v>#N/A</v>
      </c>
      <c r="F46" s="306" t="e">
        <f t="shared" si="9"/>
        <v>#N/A</v>
      </c>
      <c r="G46" s="306" t="e">
        <f t="shared" si="9"/>
        <v>#N/A</v>
      </c>
      <c r="H46" s="306" t="e">
        <f t="shared" si="9"/>
        <v>#N/A</v>
      </c>
      <c r="I46" s="306" t="e">
        <f t="shared" si="9"/>
        <v>#N/A</v>
      </c>
      <c r="J46" s="306" t="e">
        <f t="shared" si="9"/>
        <v>#N/A</v>
      </c>
      <c r="K46" s="306" t="e">
        <f t="shared" si="9"/>
        <v>#N/A</v>
      </c>
      <c r="L46" s="306" t="e">
        <f t="shared" si="9"/>
        <v>#N/A</v>
      </c>
    </row>
    <row r="47" spans="4:12" ht="12.75">
      <c r="D47" s="39" t="str">
        <f>D9</f>
        <v>Flat</v>
      </c>
      <c r="E47" s="306" t="e">
        <f t="shared" si="9"/>
        <v>#N/A</v>
      </c>
      <c r="F47" s="306" t="e">
        <f t="shared" si="9"/>
        <v>#N/A</v>
      </c>
      <c r="G47" s="306" t="e">
        <f t="shared" si="9"/>
        <v>#N/A</v>
      </c>
      <c r="H47" s="306" t="e">
        <f t="shared" si="9"/>
        <v>#N/A</v>
      </c>
      <c r="I47" s="306" t="e">
        <f t="shared" si="9"/>
        <v>#N/A</v>
      </c>
      <c r="J47" s="306" t="e">
        <f t="shared" si="9"/>
        <v>#N/A</v>
      </c>
      <c r="K47" s="306" t="e">
        <f t="shared" si="9"/>
        <v>#N/A</v>
      </c>
      <c r="L47" s="306" t="e">
        <f t="shared" si="9"/>
        <v>#N/A</v>
      </c>
    </row>
    <row r="51" spans="2:5" ht="12.75">
      <c r="B51" s="39" t="s">
        <v>528</v>
      </c>
      <c r="E51" s="304">
        <f>'User Interface'!C46</f>
        <v>0</v>
      </c>
    </row>
    <row r="53" spans="5:12" ht="12.75">
      <c r="E53" s="304" t="str">
        <f>E5</f>
        <v>Pre 1917</v>
      </c>
      <c r="F53" s="304" t="str">
        <f aca="true" t="shared" si="10" ref="F53:L53">F5</f>
        <v>1918 to 1938</v>
      </c>
      <c r="G53" s="304" t="str">
        <f t="shared" si="10"/>
        <v>1939 to 1959</v>
      </c>
      <c r="H53" s="304" t="str">
        <f t="shared" si="10"/>
        <v>1960 to 1975</v>
      </c>
      <c r="I53" s="304" t="str">
        <f t="shared" si="10"/>
        <v>1976 to 1982</v>
      </c>
      <c r="J53" s="304" t="str">
        <f t="shared" si="10"/>
        <v>1983 to 1989</v>
      </c>
      <c r="K53" s="304" t="str">
        <f t="shared" si="10"/>
        <v>1990 to 1999</v>
      </c>
      <c r="L53" s="304" t="str">
        <f t="shared" si="10"/>
        <v>Post 2000</v>
      </c>
    </row>
    <row r="54" spans="2:12" ht="12.75">
      <c r="B54" s="39" t="s">
        <v>527</v>
      </c>
      <c r="D54" s="39" t="str">
        <f>D6</f>
        <v>Detached house</v>
      </c>
      <c r="E54" s="304" t="e">
        <f>E44*$E$51</f>
        <v>#N/A</v>
      </c>
      <c r="F54" s="304" t="e">
        <f aca="true" t="shared" si="11" ref="F54:L54">F44*$E$51</f>
        <v>#N/A</v>
      </c>
      <c r="G54" s="304" t="e">
        <f t="shared" si="11"/>
        <v>#N/A</v>
      </c>
      <c r="H54" s="304" t="e">
        <f t="shared" si="11"/>
        <v>#N/A</v>
      </c>
      <c r="I54" s="304" t="e">
        <f t="shared" si="11"/>
        <v>#N/A</v>
      </c>
      <c r="J54" s="304" t="e">
        <f t="shared" si="11"/>
        <v>#N/A</v>
      </c>
      <c r="K54" s="304" t="e">
        <f t="shared" si="11"/>
        <v>#N/A</v>
      </c>
      <c r="L54" s="304" t="e">
        <f t="shared" si="11"/>
        <v>#N/A</v>
      </c>
    </row>
    <row r="55" spans="2:12" ht="12.75">
      <c r="B55" s="39" t="s">
        <v>525</v>
      </c>
      <c r="D55" s="39" t="str">
        <f>D7</f>
        <v>Semi detached house (end terrace)</v>
      </c>
      <c r="E55" s="304" t="e">
        <f aca="true" t="shared" si="12" ref="E55:L57">E45*$E$51</f>
        <v>#N/A</v>
      </c>
      <c r="F55" s="304" t="e">
        <f t="shared" si="12"/>
        <v>#N/A</v>
      </c>
      <c r="G55" s="304" t="e">
        <f t="shared" si="12"/>
        <v>#N/A</v>
      </c>
      <c r="H55" s="304" t="e">
        <f t="shared" si="12"/>
        <v>#N/A</v>
      </c>
      <c r="I55" s="304" t="e">
        <f t="shared" si="12"/>
        <v>#N/A</v>
      </c>
      <c r="J55" s="304" t="e">
        <f t="shared" si="12"/>
        <v>#N/A</v>
      </c>
      <c r="K55" s="304" t="e">
        <f t="shared" si="12"/>
        <v>#N/A</v>
      </c>
      <c r="L55" s="304" t="e">
        <f t="shared" si="12"/>
        <v>#N/A</v>
      </c>
    </row>
    <row r="56" spans="4:12" ht="12.75">
      <c r="D56" s="39" t="str">
        <f>D8</f>
        <v>Terraced house</v>
      </c>
      <c r="E56" s="304" t="e">
        <f t="shared" si="12"/>
        <v>#N/A</v>
      </c>
      <c r="F56" s="304" t="e">
        <f t="shared" si="12"/>
        <v>#N/A</v>
      </c>
      <c r="G56" s="304" t="e">
        <f t="shared" si="12"/>
        <v>#N/A</v>
      </c>
      <c r="H56" s="304" t="e">
        <f t="shared" si="12"/>
        <v>#N/A</v>
      </c>
      <c r="I56" s="304" t="e">
        <f t="shared" si="12"/>
        <v>#N/A</v>
      </c>
      <c r="J56" s="304" t="e">
        <f t="shared" si="12"/>
        <v>#N/A</v>
      </c>
      <c r="K56" s="304" t="e">
        <f t="shared" si="12"/>
        <v>#N/A</v>
      </c>
      <c r="L56" s="304" t="e">
        <f t="shared" si="12"/>
        <v>#N/A</v>
      </c>
    </row>
    <row r="57" spans="4:12" ht="12.75">
      <c r="D57" s="39" t="str">
        <f>D9</f>
        <v>Flat</v>
      </c>
      <c r="E57" s="304" t="e">
        <f t="shared" si="12"/>
        <v>#N/A</v>
      </c>
      <c r="F57" s="304" t="e">
        <f t="shared" si="12"/>
        <v>#N/A</v>
      </c>
      <c r="G57" s="304" t="e">
        <f t="shared" si="12"/>
        <v>#N/A</v>
      </c>
      <c r="H57" s="304" t="e">
        <f t="shared" si="12"/>
        <v>#N/A</v>
      </c>
      <c r="I57" s="304" t="e">
        <f t="shared" si="12"/>
        <v>#N/A</v>
      </c>
      <c r="J57" s="304" t="e">
        <f t="shared" si="12"/>
        <v>#N/A</v>
      </c>
      <c r="K57" s="304" t="e">
        <f t="shared" si="12"/>
        <v>#N/A</v>
      </c>
      <c r="L57" s="304" t="e">
        <f t="shared" si="12"/>
        <v>#N/A</v>
      </c>
    </row>
    <row r="59" spans="5:12" ht="12.75">
      <c r="E59" s="304" t="str">
        <f>E5</f>
        <v>Pre 1917</v>
      </c>
      <c r="F59" s="304" t="str">
        <f aca="true" t="shared" si="13" ref="F59:L59">F5</f>
        <v>1918 to 1938</v>
      </c>
      <c r="G59" s="304" t="str">
        <f t="shared" si="13"/>
        <v>1939 to 1959</v>
      </c>
      <c r="H59" s="304" t="str">
        <f t="shared" si="13"/>
        <v>1960 to 1975</v>
      </c>
      <c r="I59" s="304" t="str">
        <f t="shared" si="13"/>
        <v>1976 to 1982</v>
      </c>
      <c r="J59" s="304" t="str">
        <f t="shared" si="13"/>
        <v>1983 to 1989</v>
      </c>
      <c r="K59" s="304" t="str">
        <f t="shared" si="13"/>
        <v>1990 to 1999</v>
      </c>
      <c r="L59" s="304" t="str">
        <f t="shared" si="13"/>
        <v>Post 2000</v>
      </c>
    </row>
    <row r="60" spans="2:12" ht="12.75">
      <c r="B60" s="39" t="s">
        <v>529</v>
      </c>
      <c r="D60" s="39" t="str">
        <f>D12</f>
        <v>Detached house</v>
      </c>
      <c r="E60" s="304" t="e">
        <f>(1-E44)*$E$51</f>
        <v>#N/A</v>
      </c>
      <c r="F60" s="304" t="e">
        <f aca="true" t="shared" si="14" ref="F60:L60">(1-F44)*$E$51</f>
        <v>#N/A</v>
      </c>
      <c r="G60" s="304" t="e">
        <f t="shared" si="14"/>
        <v>#N/A</v>
      </c>
      <c r="H60" s="304" t="e">
        <f t="shared" si="14"/>
        <v>#N/A</v>
      </c>
      <c r="I60" s="304" t="e">
        <f t="shared" si="14"/>
        <v>#N/A</v>
      </c>
      <c r="J60" s="304" t="e">
        <f t="shared" si="14"/>
        <v>#N/A</v>
      </c>
      <c r="K60" s="304" t="e">
        <f t="shared" si="14"/>
        <v>#N/A</v>
      </c>
      <c r="L60" s="304" t="e">
        <f t="shared" si="14"/>
        <v>#N/A</v>
      </c>
    </row>
    <row r="61" spans="2:12" ht="12.75">
      <c r="B61" s="39" t="s">
        <v>525</v>
      </c>
      <c r="D61" s="39" t="str">
        <f>D13</f>
        <v>Semi detached house (end terrace)</v>
      </c>
      <c r="E61" s="304" t="e">
        <f aca="true" t="shared" si="15" ref="E61:L63">(1-E45)*$E$51</f>
        <v>#N/A</v>
      </c>
      <c r="F61" s="304" t="e">
        <f t="shared" si="15"/>
        <v>#N/A</v>
      </c>
      <c r="G61" s="304" t="e">
        <f t="shared" si="15"/>
        <v>#N/A</v>
      </c>
      <c r="H61" s="304" t="e">
        <f t="shared" si="15"/>
        <v>#N/A</v>
      </c>
      <c r="I61" s="304" t="e">
        <f t="shared" si="15"/>
        <v>#N/A</v>
      </c>
      <c r="J61" s="304" t="e">
        <f t="shared" si="15"/>
        <v>#N/A</v>
      </c>
      <c r="K61" s="304" t="e">
        <f t="shared" si="15"/>
        <v>#N/A</v>
      </c>
      <c r="L61" s="304" t="e">
        <f t="shared" si="15"/>
        <v>#N/A</v>
      </c>
    </row>
    <row r="62" spans="4:12" ht="12.75">
      <c r="D62" s="39" t="str">
        <f>D14</f>
        <v>Terraced house</v>
      </c>
      <c r="E62" s="304" t="e">
        <f t="shared" si="15"/>
        <v>#N/A</v>
      </c>
      <c r="F62" s="304" t="e">
        <f t="shared" si="15"/>
        <v>#N/A</v>
      </c>
      <c r="G62" s="304" t="e">
        <f t="shared" si="15"/>
        <v>#N/A</v>
      </c>
      <c r="H62" s="304" t="e">
        <f t="shared" si="15"/>
        <v>#N/A</v>
      </c>
      <c r="I62" s="304" t="e">
        <f t="shared" si="15"/>
        <v>#N/A</v>
      </c>
      <c r="J62" s="304" t="e">
        <f t="shared" si="15"/>
        <v>#N/A</v>
      </c>
      <c r="K62" s="304" t="e">
        <f t="shared" si="15"/>
        <v>#N/A</v>
      </c>
      <c r="L62" s="304" t="e">
        <f t="shared" si="15"/>
        <v>#N/A</v>
      </c>
    </row>
    <row r="63" spans="4:12" ht="12.75">
      <c r="D63" s="39" t="str">
        <f>D15</f>
        <v>Flat</v>
      </c>
      <c r="E63" s="304" t="e">
        <f t="shared" si="15"/>
        <v>#N/A</v>
      </c>
      <c r="F63" s="304" t="e">
        <f t="shared" si="15"/>
        <v>#N/A</v>
      </c>
      <c r="G63" s="304" t="e">
        <f t="shared" si="15"/>
        <v>#N/A</v>
      </c>
      <c r="H63" s="304" t="e">
        <f t="shared" si="15"/>
        <v>#N/A</v>
      </c>
      <c r="I63" s="304" t="e">
        <f t="shared" si="15"/>
        <v>#N/A</v>
      </c>
      <c r="J63" s="304" t="e">
        <f t="shared" si="15"/>
        <v>#N/A</v>
      </c>
      <c r="K63" s="304" t="e">
        <f t="shared" si="15"/>
        <v>#N/A</v>
      </c>
      <c r="L63" s="304" t="e">
        <f t="shared" si="15"/>
        <v>#N/A</v>
      </c>
    </row>
    <row r="65" spans="5:12" ht="12.75">
      <c r="E65" s="304" t="str">
        <f>E5</f>
        <v>Pre 1917</v>
      </c>
      <c r="F65" s="304" t="str">
        <f aca="true" t="shared" si="16" ref="F65:L65">F5</f>
        <v>1918 to 1938</v>
      </c>
      <c r="G65" s="304" t="str">
        <f t="shared" si="16"/>
        <v>1939 to 1959</v>
      </c>
      <c r="H65" s="304" t="str">
        <f t="shared" si="16"/>
        <v>1960 to 1975</v>
      </c>
      <c r="I65" s="304" t="str">
        <f t="shared" si="16"/>
        <v>1976 to 1982</v>
      </c>
      <c r="J65" s="304" t="str">
        <f t="shared" si="16"/>
        <v>1983 to 1989</v>
      </c>
      <c r="K65" s="304" t="str">
        <f t="shared" si="16"/>
        <v>1990 to 1999</v>
      </c>
      <c r="L65" s="304" t="str">
        <f t="shared" si="16"/>
        <v>Post 2000</v>
      </c>
    </row>
    <row r="66" spans="2:12" ht="12.75">
      <c r="B66" s="39" t="s">
        <v>561</v>
      </c>
      <c r="D66" s="39" t="str">
        <f>D12</f>
        <v>Detached house</v>
      </c>
      <c r="E66" s="304" t="e">
        <f>IF($E$3="Yes",0,E54)+E60</f>
        <v>#N/A</v>
      </c>
      <c r="F66" s="304" t="e">
        <f aca="true" t="shared" si="17" ref="F66:L66">IF($E$3="Yes",0,F54)+F60</f>
        <v>#N/A</v>
      </c>
      <c r="G66" s="304" t="e">
        <f t="shared" si="17"/>
        <v>#N/A</v>
      </c>
      <c r="H66" s="304" t="e">
        <f t="shared" si="17"/>
        <v>#N/A</v>
      </c>
      <c r="I66" s="304" t="e">
        <f t="shared" si="17"/>
        <v>#N/A</v>
      </c>
      <c r="J66" s="304" t="e">
        <f t="shared" si="17"/>
        <v>#N/A</v>
      </c>
      <c r="K66" s="304" t="e">
        <f t="shared" si="17"/>
        <v>#N/A</v>
      </c>
      <c r="L66" s="304" t="e">
        <f t="shared" si="17"/>
        <v>#N/A</v>
      </c>
    </row>
    <row r="67" spans="2:12" ht="12.75">
      <c r="B67" s="39" t="s">
        <v>525</v>
      </c>
      <c r="D67" s="39" t="str">
        <f>D13</f>
        <v>Semi detached house (end terrace)</v>
      </c>
      <c r="E67" s="304" t="e">
        <f aca="true" t="shared" si="18" ref="E67:L69">IF($E$3="Yes",0,E55)+E61</f>
        <v>#N/A</v>
      </c>
      <c r="F67" s="304" t="e">
        <f t="shared" si="18"/>
        <v>#N/A</v>
      </c>
      <c r="G67" s="304" t="e">
        <f t="shared" si="18"/>
        <v>#N/A</v>
      </c>
      <c r="H67" s="304" t="e">
        <f t="shared" si="18"/>
        <v>#N/A</v>
      </c>
      <c r="I67" s="304" t="e">
        <f t="shared" si="18"/>
        <v>#N/A</v>
      </c>
      <c r="J67" s="304" t="e">
        <f t="shared" si="18"/>
        <v>#N/A</v>
      </c>
      <c r="K67" s="304" t="e">
        <f t="shared" si="18"/>
        <v>#N/A</v>
      </c>
      <c r="L67" s="304" t="e">
        <f t="shared" si="18"/>
        <v>#N/A</v>
      </c>
    </row>
    <row r="68" spans="4:12" ht="12.75">
      <c r="D68" s="39" t="str">
        <f>D14</f>
        <v>Terraced house</v>
      </c>
      <c r="E68" s="304" t="e">
        <f t="shared" si="18"/>
        <v>#N/A</v>
      </c>
      <c r="F68" s="304" t="e">
        <f t="shared" si="18"/>
        <v>#N/A</v>
      </c>
      <c r="G68" s="304" t="e">
        <f t="shared" si="18"/>
        <v>#N/A</v>
      </c>
      <c r="H68" s="304" t="e">
        <f t="shared" si="18"/>
        <v>#N/A</v>
      </c>
      <c r="I68" s="304" t="e">
        <f t="shared" si="18"/>
        <v>#N/A</v>
      </c>
      <c r="J68" s="304" t="e">
        <f t="shared" si="18"/>
        <v>#N/A</v>
      </c>
      <c r="K68" s="304" t="e">
        <f t="shared" si="18"/>
        <v>#N/A</v>
      </c>
      <c r="L68" s="304" t="e">
        <f t="shared" si="18"/>
        <v>#N/A</v>
      </c>
    </row>
    <row r="69" spans="4:12" ht="12.75">
      <c r="D69" s="39" t="str">
        <f>D15</f>
        <v>Flat</v>
      </c>
      <c r="E69" s="304" t="e">
        <f t="shared" si="18"/>
        <v>#N/A</v>
      </c>
      <c r="F69" s="304" t="e">
        <f t="shared" si="18"/>
        <v>#N/A</v>
      </c>
      <c r="G69" s="304" t="e">
        <f t="shared" si="18"/>
        <v>#N/A</v>
      </c>
      <c r="H69" s="304" t="e">
        <f t="shared" si="18"/>
        <v>#N/A</v>
      </c>
      <c r="I69" s="304" t="e">
        <f t="shared" si="18"/>
        <v>#N/A</v>
      </c>
      <c r="J69" s="304" t="e">
        <f t="shared" si="18"/>
        <v>#N/A</v>
      </c>
      <c r="K69" s="304" t="e">
        <f t="shared" si="18"/>
        <v>#N/A</v>
      </c>
      <c r="L69" s="304" t="e">
        <f t="shared" si="18"/>
        <v>#N/A</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rgb="FF92D050"/>
  </sheetPr>
  <dimension ref="B1:I80"/>
  <sheetViews>
    <sheetView zoomScalePageLayoutView="0" workbookViewId="0" topLeftCell="A1">
      <selection activeCell="C32" sqref="C32"/>
    </sheetView>
  </sheetViews>
  <sheetFormatPr defaultColWidth="9.140625" defaultRowHeight="12.75"/>
  <cols>
    <col min="1" max="1" width="3.8515625" style="39" customWidth="1"/>
    <col min="2" max="2" width="32.57421875" style="39" customWidth="1"/>
    <col min="3" max="3" width="16.57421875" style="39" customWidth="1"/>
    <col min="4" max="4" width="13.8515625" style="39" customWidth="1"/>
    <col min="5" max="5" width="15.00390625" style="39" customWidth="1"/>
    <col min="6" max="6" width="15.421875" style="39" customWidth="1"/>
    <col min="7" max="16384" width="9.140625" style="39" customWidth="1"/>
  </cols>
  <sheetData>
    <row r="1" ht="12.75">
      <c r="B1" s="39" t="s">
        <v>623</v>
      </c>
    </row>
    <row r="3" spans="2:3" ht="12.75">
      <c r="B3" s="41" t="s">
        <v>216</v>
      </c>
      <c r="C3" s="74" t="s">
        <v>52</v>
      </c>
    </row>
    <row r="5" spans="2:6" ht="12.75">
      <c r="B5" s="54" t="s">
        <v>217</v>
      </c>
      <c r="C5" s="307">
        <v>200</v>
      </c>
      <c r="D5" s="54"/>
      <c r="E5" s="54"/>
      <c r="F5" s="54"/>
    </row>
    <row r="6" spans="2:6" ht="12.75">
      <c r="B6" s="42" t="s">
        <v>284</v>
      </c>
      <c r="C6" s="42"/>
      <c r="D6" s="42"/>
      <c r="E6" s="42"/>
      <c r="F6" s="42"/>
    </row>
    <row r="7" spans="2:6" ht="12.75">
      <c r="B7" s="42" t="s">
        <v>288</v>
      </c>
      <c r="C7" s="307">
        <v>60</v>
      </c>
      <c r="D7" s="42"/>
      <c r="E7" s="42"/>
      <c r="F7" s="42"/>
    </row>
    <row r="8" spans="2:6" ht="12.75">
      <c r="B8" s="42" t="s">
        <v>289</v>
      </c>
      <c r="C8" s="308" t="s">
        <v>84</v>
      </c>
      <c r="D8" s="308" t="s">
        <v>229</v>
      </c>
      <c r="E8" s="308" t="s">
        <v>86</v>
      </c>
      <c r="F8" s="42"/>
    </row>
    <row r="9" spans="2:8" ht="12.75">
      <c r="B9" s="42" t="s">
        <v>285</v>
      </c>
      <c r="C9" s="308">
        <v>0</v>
      </c>
      <c r="D9" s="308">
        <v>0.5</v>
      </c>
      <c r="E9" s="308">
        <v>1</v>
      </c>
      <c r="F9" s="309">
        <f>IF(AND(G9="No",H9="Yes"),C9,IF(AND(OR(G9="Yes",G9="Unknown"),OR(H9="No",H9="Unknown")),E9,D9))</f>
        <v>0.5</v>
      </c>
      <c r="G9" s="310">
        <f>'User Interface'!C59</f>
        <v>0</v>
      </c>
      <c r="H9" s="310">
        <f>'User Interface'!C60</f>
        <v>0</v>
      </c>
    </row>
    <row r="10" spans="2:8" ht="12.75">
      <c r="B10" s="42" t="s">
        <v>286</v>
      </c>
      <c r="C10" s="308">
        <v>0</v>
      </c>
      <c r="D10" s="308">
        <v>0.25</v>
      </c>
      <c r="E10" s="308">
        <v>0.5</v>
      </c>
      <c r="F10" s="309">
        <f>IF(AND(G10="Yes",H10="Yes"),C10,IF(AND(OR(G10="No",G10="Unknown"),OR(H10="No",H10="Unknown")),E10,D10))</f>
        <v>0.25</v>
      </c>
      <c r="G10" s="310">
        <f>'User Interface'!C62</f>
        <v>0</v>
      </c>
      <c r="H10" s="310">
        <f>'User Interface'!C61</f>
        <v>0</v>
      </c>
    </row>
    <row r="11" spans="2:9" ht="12.75">
      <c r="B11" s="42" t="s">
        <v>287</v>
      </c>
      <c r="C11" s="308">
        <v>0</v>
      </c>
      <c r="D11" s="308"/>
      <c r="E11" s="308"/>
      <c r="F11" s="309"/>
      <c r="G11" s="310"/>
      <c r="H11" s="310"/>
      <c r="I11" s="42"/>
    </row>
    <row r="12" spans="2:9" ht="12.75">
      <c r="B12" s="42" t="s">
        <v>140</v>
      </c>
      <c r="C12" s="307">
        <f>C7+C7*(F9+F10+F11)</f>
        <v>105</v>
      </c>
      <c r="D12" s="42"/>
      <c r="E12" s="42"/>
      <c r="F12" s="42"/>
      <c r="G12" s="42"/>
      <c r="H12" s="42"/>
      <c r="I12" s="42"/>
    </row>
    <row r="13" spans="2:9" ht="12.75">
      <c r="B13" s="42"/>
      <c r="C13" s="42"/>
      <c r="D13" s="42"/>
      <c r="E13" s="42"/>
      <c r="F13" s="42"/>
      <c r="G13" s="42"/>
      <c r="H13" s="42"/>
      <c r="I13" s="42"/>
    </row>
    <row r="14" spans="2:3" ht="38.25">
      <c r="B14" s="228" t="s">
        <v>236</v>
      </c>
      <c r="C14" s="42"/>
    </row>
    <row r="15" spans="2:3" ht="12.75">
      <c r="B15" s="42"/>
      <c r="C15" s="42"/>
    </row>
    <row r="16" spans="2:6" ht="12.75">
      <c r="B16" s="75"/>
      <c r="C16" s="55"/>
      <c r="D16" s="42"/>
      <c r="E16" s="42"/>
      <c r="F16" s="42"/>
    </row>
    <row r="17" spans="2:6" ht="25.5">
      <c r="B17" s="76" t="s">
        <v>601</v>
      </c>
      <c r="C17" s="119">
        <v>2000</v>
      </c>
      <c r="D17" s="322"/>
      <c r="E17" s="323"/>
      <c r="F17" s="324"/>
    </row>
    <row r="18" spans="2:6" ht="25.5">
      <c r="B18" s="76" t="s">
        <v>602</v>
      </c>
      <c r="C18" s="119">
        <v>950</v>
      </c>
      <c r="D18" s="322"/>
      <c r="E18" s="323"/>
      <c r="F18" s="324"/>
    </row>
    <row r="19" spans="2:6" ht="25.5">
      <c r="B19" s="76" t="s">
        <v>603</v>
      </c>
      <c r="C19" s="119">
        <v>800</v>
      </c>
      <c r="D19" s="322"/>
      <c r="E19" s="323"/>
      <c r="F19" s="324"/>
    </row>
    <row r="20" spans="2:6" ht="25.5">
      <c r="B20" s="76" t="s">
        <v>604</v>
      </c>
      <c r="C20" s="119">
        <v>650</v>
      </c>
      <c r="D20" s="322"/>
      <c r="E20" s="323"/>
      <c r="F20" s="324"/>
    </row>
    <row r="21" spans="2:6" ht="12.75">
      <c r="B21" s="76"/>
      <c r="C21" s="119"/>
      <c r="D21" s="42"/>
      <c r="E21" s="42"/>
      <c r="F21" s="42"/>
    </row>
    <row r="22" spans="2:6" ht="12.75">
      <c r="B22" s="76" t="s">
        <v>335</v>
      </c>
      <c r="C22" s="119"/>
      <c r="D22" s="119" t="s">
        <v>458</v>
      </c>
      <c r="E22" s="119"/>
      <c r="F22" s="42"/>
    </row>
    <row r="23" spans="2:6" ht="12.75">
      <c r="B23" s="76"/>
      <c r="C23" s="121" t="s">
        <v>494</v>
      </c>
      <c r="D23" s="121" t="s">
        <v>495</v>
      </c>
      <c r="E23" s="119"/>
      <c r="F23" s="42"/>
    </row>
    <row r="24" spans="2:6" ht="12.75">
      <c r="B24" s="76"/>
      <c r="C24" s="121">
        <v>0</v>
      </c>
      <c r="D24" s="311">
        <v>50</v>
      </c>
      <c r="E24" s="119"/>
      <c r="F24" s="42"/>
    </row>
    <row r="25" spans="2:6" ht="12.75">
      <c r="B25" s="76"/>
      <c r="C25" s="121">
        <v>50</v>
      </c>
      <c r="D25" s="311">
        <v>30</v>
      </c>
      <c r="E25" s="119"/>
      <c r="F25" s="42"/>
    </row>
    <row r="26" spans="2:6" ht="12.75">
      <c r="B26" s="76"/>
      <c r="C26" s="121">
        <v>100</v>
      </c>
      <c r="D26" s="311">
        <v>30</v>
      </c>
      <c r="E26" s="119"/>
      <c r="F26" s="42"/>
    </row>
    <row r="27" spans="2:6" ht="12.75">
      <c r="B27" s="76"/>
      <c r="C27" s="121">
        <v>150</v>
      </c>
      <c r="D27" s="311">
        <v>20</v>
      </c>
      <c r="E27" s="119"/>
      <c r="F27" s="42"/>
    </row>
    <row r="28" spans="2:6" ht="12.75">
      <c r="B28" s="76"/>
      <c r="C28" s="121"/>
      <c r="D28" s="121"/>
      <c r="E28" s="119"/>
      <c r="F28" s="42"/>
    </row>
    <row r="29" spans="2:6" ht="12.75">
      <c r="B29" s="76" t="s">
        <v>336</v>
      </c>
      <c r="C29" s="119">
        <f>1500/100</f>
        <v>15</v>
      </c>
      <c r="D29" s="39" t="s">
        <v>608</v>
      </c>
      <c r="E29" s="42"/>
      <c r="F29" s="42"/>
    </row>
    <row r="30" spans="2:6" ht="12.75">
      <c r="B30" s="75" t="s">
        <v>337</v>
      </c>
      <c r="C30" s="121" t="s">
        <v>341</v>
      </c>
      <c r="D30" s="42"/>
      <c r="E30" s="42"/>
      <c r="F30" s="42"/>
    </row>
    <row r="31" spans="2:6" ht="12.75">
      <c r="B31" s="76" t="s">
        <v>460</v>
      </c>
      <c r="C31" s="119">
        <v>200</v>
      </c>
      <c r="D31" s="42" t="s">
        <v>459</v>
      </c>
      <c r="E31" s="42"/>
      <c r="F31" s="42"/>
    </row>
    <row r="32" spans="2:6" ht="12.75">
      <c r="B32" s="76" t="s">
        <v>463</v>
      </c>
      <c r="C32" s="312">
        <f>C31*2</f>
        <v>400</v>
      </c>
      <c r="D32" s="42" t="s">
        <v>461</v>
      </c>
      <c r="E32" s="42"/>
      <c r="F32" s="42"/>
    </row>
    <row r="33" spans="2:6" ht="12.75">
      <c r="B33" s="76" t="s">
        <v>462</v>
      </c>
      <c r="C33" s="312">
        <f>C31*3</f>
        <v>600</v>
      </c>
      <c r="D33" s="42" t="s">
        <v>464</v>
      </c>
      <c r="E33" s="42"/>
      <c r="F33" s="42"/>
    </row>
    <row r="34" spans="3:6" ht="12.75">
      <c r="C34" s="120" t="s">
        <v>465</v>
      </c>
      <c r="D34" s="42"/>
      <c r="E34" s="42"/>
      <c r="F34" s="42"/>
    </row>
    <row r="35" spans="2:6" ht="12.75">
      <c r="B35" s="42"/>
      <c r="C35" s="42"/>
      <c r="D35" s="42"/>
      <c r="E35" s="42"/>
      <c r="F35" s="42"/>
    </row>
    <row r="36" spans="2:6" ht="12.75">
      <c r="B36" s="44" t="s">
        <v>219</v>
      </c>
      <c r="C36" s="307">
        <v>70</v>
      </c>
      <c r="D36" s="42"/>
      <c r="E36" s="42"/>
      <c r="F36" s="42"/>
    </row>
    <row r="37" spans="4:5" ht="12.75">
      <c r="D37" s="42"/>
      <c r="E37" s="42"/>
    </row>
    <row r="38" spans="2:6" ht="12.75">
      <c r="B38" s="42"/>
      <c r="C38" s="42"/>
      <c r="D38" s="42"/>
      <c r="E38" s="42"/>
      <c r="F38" s="42"/>
    </row>
    <row r="39" spans="2:6" ht="12.75">
      <c r="B39" s="43" t="s">
        <v>220</v>
      </c>
      <c r="C39" s="42"/>
      <c r="D39" s="42"/>
      <c r="E39" s="42"/>
      <c r="F39" s="42"/>
    </row>
    <row r="40" spans="2:6" ht="12.75">
      <c r="B40" s="42"/>
      <c r="C40" s="42"/>
      <c r="D40" s="42"/>
      <c r="E40" s="42"/>
      <c r="F40" s="42"/>
    </row>
    <row r="41" spans="2:6" ht="38.25">
      <c r="B41" s="44" t="s">
        <v>283</v>
      </c>
      <c r="C41" s="44" t="s">
        <v>218</v>
      </c>
      <c r="D41" s="44" t="s">
        <v>282</v>
      </c>
      <c r="E41" s="44" t="s">
        <v>275</v>
      </c>
      <c r="F41" s="42"/>
    </row>
    <row r="42" spans="2:6" ht="12.75">
      <c r="B42" s="119">
        <v>40</v>
      </c>
      <c r="C42" s="42" t="s">
        <v>357</v>
      </c>
      <c r="D42" s="119">
        <v>50</v>
      </c>
      <c r="E42" s="119">
        <v>150</v>
      </c>
      <c r="F42" s="42"/>
    </row>
    <row r="43" spans="2:6" ht="12.75">
      <c r="B43" s="42"/>
      <c r="C43" s="42"/>
      <c r="D43" s="42"/>
      <c r="E43" s="42"/>
      <c r="F43" s="42"/>
    </row>
    <row r="44" spans="2:6" ht="12.75">
      <c r="B44" s="44" t="s">
        <v>469</v>
      </c>
      <c r="C44" s="44"/>
      <c r="D44" s="42"/>
      <c r="E44" s="42"/>
      <c r="F44" s="42"/>
    </row>
    <row r="45" spans="2:6" ht="12.75">
      <c r="B45" s="119">
        <v>70</v>
      </c>
      <c r="C45" s="42"/>
      <c r="D45" s="42"/>
      <c r="E45" s="42"/>
      <c r="F45" s="42"/>
    </row>
    <row r="46" spans="2:6" ht="12.75">
      <c r="B46" s="42"/>
      <c r="C46" s="42"/>
      <c r="D46" s="42"/>
      <c r="E46" s="42"/>
      <c r="F46" s="42"/>
    </row>
    <row r="47" spans="2:6" ht="12.75">
      <c r="B47" s="42"/>
      <c r="C47" s="42"/>
      <c r="D47" s="42"/>
      <c r="E47" s="42"/>
      <c r="F47" s="42"/>
    </row>
    <row r="48" spans="2:6" ht="12.75">
      <c r="B48" s="43" t="s">
        <v>221</v>
      </c>
      <c r="C48" s="74" t="s">
        <v>53</v>
      </c>
      <c r="D48" s="42"/>
      <c r="E48" s="42"/>
      <c r="F48" s="42"/>
    </row>
    <row r="49" spans="2:6" ht="12.75">
      <c r="B49" s="42"/>
      <c r="C49" s="42"/>
      <c r="D49" s="42"/>
      <c r="E49" s="42"/>
      <c r="F49" s="42"/>
    </row>
    <row r="50" spans="2:5" ht="12.75">
      <c r="B50" s="42" t="s">
        <v>281</v>
      </c>
      <c r="C50" s="307">
        <v>1500</v>
      </c>
      <c r="D50" s="39" t="s">
        <v>427</v>
      </c>
      <c r="E50" s="42"/>
    </row>
    <row r="51" spans="2:6" ht="12.75">
      <c r="B51" s="42" t="s">
        <v>284</v>
      </c>
      <c r="C51" s="42"/>
      <c r="D51" s="42"/>
      <c r="E51" s="42"/>
      <c r="F51" s="42"/>
    </row>
    <row r="52" spans="2:6" ht="12.75">
      <c r="B52" s="42" t="s">
        <v>288</v>
      </c>
      <c r="C52" s="307">
        <v>60</v>
      </c>
      <c r="D52" s="42"/>
      <c r="E52" s="42"/>
      <c r="F52" s="42"/>
    </row>
    <row r="53" spans="2:6" ht="12.75">
      <c r="B53" s="42" t="s">
        <v>289</v>
      </c>
      <c r="C53" s="308" t="s">
        <v>84</v>
      </c>
      <c r="D53" s="308" t="s">
        <v>229</v>
      </c>
      <c r="E53" s="308" t="s">
        <v>86</v>
      </c>
      <c r="F53" s="42"/>
    </row>
    <row r="54" spans="2:8" ht="12.75">
      <c r="B54" s="42" t="s">
        <v>285</v>
      </c>
      <c r="C54" s="308">
        <v>0</v>
      </c>
      <c r="D54" s="308">
        <v>0.5</v>
      </c>
      <c r="E54" s="308">
        <v>1</v>
      </c>
      <c r="F54" s="309">
        <f>IF(AND(G54="No",H54="Yes"),C54,IF(AND(OR(G54="Yes",G54="Unknown"),OR(H54="No",H54="Unknown")),E54,D54))</f>
        <v>0.5</v>
      </c>
      <c r="G54" s="310">
        <f>'User Interface'!C106</f>
        <v>0</v>
      </c>
      <c r="H54" s="310">
        <f>'User Interface'!C107</f>
        <v>0</v>
      </c>
    </row>
    <row r="55" spans="2:8" ht="12.75">
      <c r="B55" s="42" t="s">
        <v>286</v>
      </c>
      <c r="C55" s="308">
        <v>0</v>
      </c>
      <c r="D55" s="308">
        <v>0.25</v>
      </c>
      <c r="E55" s="308">
        <v>0.5</v>
      </c>
      <c r="F55" s="309">
        <f>IF(AND(G55="Yes",H55="Yes"),C55,IF(AND(OR(G55="No",G55="Unknown"),OR(H55="No",H55="Unknown")),E55,D55))</f>
        <v>0.25</v>
      </c>
      <c r="G55" s="310">
        <f>'User Interface'!C109</f>
        <v>0</v>
      </c>
      <c r="H55" s="310">
        <f>'User Interface'!C108</f>
        <v>0</v>
      </c>
    </row>
    <row r="56" spans="2:9" ht="12.75">
      <c r="B56" s="42" t="s">
        <v>287</v>
      </c>
      <c r="C56" s="308">
        <v>0</v>
      </c>
      <c r="D56" s="308"/>
      <c r="E56" s="308"/>
      <c r="F56" s="309"/>
      <c r="G56" s="310"/>
      <c r="H56" s="310"/>
      <c r="I56" s="42"/>
    </row>
    <row r="57" spans="2:9" ht="12.75">
      <c r="B57" s="42" t="s">
        <v>140</v>
      </c>
      <c r="C57" s="307">
        <f>C52+C52*(F54+F55+F56)</f>
        <v>105</v>
      </c>
      <c r="D57" s="42"/>
      <c r="E57" s="42"/>
      <c r="F57" s="42"/>
      <c r="G57" s="42"/>
      <c r="H57" s="42"/>
      <c r="I57" s="42"/>
    </row>
    <row r="58" spans="3:5" ht="12.75">
      <c r="C58" s="42"/>
      <c r="E58" s="42"/>
    </row>
    <row r="59" ht="12.75">
      <c r="D59" s="219"/>
    </row>
    <row r="60" spans="2:4" ht="12.75">
      <c r="B60" s="42" t="s">
        <v>225</v>
      </c>
      <c r="C60" s="307">
        <f>C36</f>
        <v>70</v>
      </c>
      <c r="D60" s="219"/>
    </row>
    <row r="61" ht="12.75">
      <c r="D61" s="219"/>
    </row>
    <row r="62" ht="12.75">
      <c r="D62" s="219"/>
    </row>
    <row r="63" ht="12.75">
      <c r="D63" s="219"/>
    </row>
    <row r="64" spans="2:4" ht="12.75">
      <c r="B64" s="41" t="s">
        <v>246</v>
      </c>
      <c r="D64" s="219"/>
    </row>
    <row r="65" spans="2:4" ht="12.75" customHeight="1">
      <c r="B65" s="39" t="s">
        <v>426</v>
      </c>
      <c r="C65" s="42" t="s">
        <v>421</v>
      </c>
      <c r="D65" s="219"/>
    </row>
    <row r="66" spans="3:4" ht="12.75">
      <c r="C66" s="54"/>
      <c r="D66" s="219"/>
    </row>
    <row r="67" spans="2:4" ht="12.75">
      <c r="B67" s="39" t="s">
        <v>410</v>
      </c>
      <c r="C67" s="311">
        <v>50</v>
      </c>
      <c r="D67" s="219" t="s">
        <v>409</v>
      </c>
    </row>
    <row r="68" ht="12.75">
      <c r="D68" s="219"/>
    </row>
    <row r="69" spans="2:4" ht="12.75">
      <c r="B69" s="39" t="s">
        <v>579</v>
      </c>
      <c r="D69" s="219"/>
    </row>
    <row r="70" spans="2:4" ht="38.25">
      <c r="B70" s="54" t="s">
        <v>425</v>
      </c>
      <c r="C70" s="311">
        <v>50</v>
      </c>
      <c r="D70" s="219"/>
    </row>
    <row r="71" ht="12.75">
      <c r="D71" s="219"/>
    </row>
    <row r="72" spans="2:4" ht="12.75">
      <c r="B72" s="39" t="s">
        <v>572</v>
      </c>
      <c r="C72" s="313">
        <v>50</v>
      </c>
      <c r="D72" s="219" t="s">
        <v>573</v>
      </c>
    </row>
    <row r="73" ht="12.75">
      <c r="D73" s="219"/>
    </row>
    <row r="74" ht="12.75">
      <c r="D74" s="219"/>
    </row>
    <row r="75" ht="12.75">
      <c r="D75" s="219"/>
    </row>
    <row r="76" ht="12.75">
      <c r="D76" s="219"/>
    </row>
    <row r="77" ht="12.75">
      <c r="D77" s="219"/>
    </row>
    <row r="78" ht="12.75">
      <c r="D78" s="219"/>
    </row>
    <row r="79" ht="12.75">
      <c r="D79" s="219"/>
    </row>
    <row r="80" ht="12.75">
      <c r="D80" s="219"/>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tabColor rgb="FF92D050"/>
  </sheetPr>
  <dimension ref="A1:AW104"/>
  <sheetViews>
    <sheetView zoomScalePageLayoutView="0" workbookViewId="0" topLeftCell="B1">
      <selection activeCell="E56" sqref="E56"/>
    </sheetView>
  </sheetViews>
  <sheetFormatPr defaultColWidth="9.140625" defaultRowHeight="12.75"/>
  <cols>
    <col min="1" max="16384" width="9.140625" style="39" customWidth="1"/>
  </cols>
  <sheetData>
    <row r="1" spans="1:49" ht="12.75">
      <c r="A1" s="4"/>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4"/>
    </row>
    <row r="2" spans="1:49" ht="15.75">
      <c r="A2" s="4"/>
      <c r="B2" s="1"/>
      <c r="C2" s="2" t="s">
        <v>78</v>
      </c>
      <c r="D2" s="6"/>
      <c r="E2" s="6"/>
      <c r="F2" s="6"/>
      <c r="G2" s="6"/>
      <c r="H2" s="6"/>
      <c r="I2" s="6"/>
      <c r="J2" s="6"/>
      <c r="K2" s="6"/>
      <c r="L2" s="6"/>
      <c r="M2" s="6"/>
      <c r="N2" s="6"/>
      <c r="O2" s="6"/>
      <c r="P2" s="6"/>
      <c r="Q2" s="6"/>
      <c r="R2" s="6"/>
      <c r="S2" s="6"/>
      <c r="T2" s="6"/>
      <c r="U2" s="6"/>
      <c r="V2" s="6"/>
      <c r="W2" s="6"/>
      <c r="X2" s="6"/>
      <c r="Y2" s="6"/>
      <c r="Z2" s="6"/>
      <c r="AA2" s="6"/>
      <c r="AB2" s="6"/>
      <c r="AC2" s="6"/>
      <c r="AD2" s="6"/>
      <c r="AE2" s="6"/>
      <c r="AF2" s="6"/>
      <c r="AG2" s="3"/>
      <c r="AH2" s="6"/>
      <c r="AI2" s="6"/>
      <c r="AJ2" s="6"/>
      <c r="AK2" s="6"/>
      <c r="AL2" s="6"/>
      <c r="AM2" s="6"/>
      <c r="AN2" s="6"/>
      <c r="AO2" s="6"/>
      <c r="AP2" s="6"/>
      <c r="AQ2" s="3"/>
      <c r="AR2" s="6"/>
      <c r="AS2" s="6"/>
      <c r="AT2" s="6"/>
      <c r="AU2" s="6"/>
      <c r="AV2" s="6"/>
      <c r="AW2" s="4"/>
    </row>
    <row r="3" spans="1:49" ht="13.5" thickBot="1">
      <c r="A3" s="4"/>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4"/>
    </row>
    <row r="4" spans="1:49" ht="13.5" thickBot="1">
      <c r="A4" s="4"/>
      <c r="B4" s="5"/>
      <c r="C4" s="365" t="s">
        <v>79</v>
      </c>
      <c r="D4" s="366"/>
      <c r="E4" s="366"/>
      <c r="F4" s="366"/>
      <c r="G4" s="366"/>
      <c r="H4" s="366"/>
      <c r="I4" s="366"/>
      <c r="J4" s="366"/>
      <c r="K4" s="367"/>
      <c r="L4" s="6"/>
      <c r="M4" s="365" t="s">
        <v>80</v>
      </c>
      <c r="N4" s="366"/>
      <c r="O4" s="366"/>
      <c r="P4" s="366"/>
      <c r="Q4" s="366"/>
      <c r="R4" s="366"/>
      <c r="S4" s="366"/>
      <c r="T4" s="366"/>
      <c r="U4" s="367"/>
      <c r="V4" s="6"/>
      <c r="W4" s="365" t="s">
        <v>81</v>
      </c>
      <c r="X4" s="366"/>
      <c r="Y4" s="366"/>
      <c r="Z4" s="366"/>
      <c r="AA4" s="366"/>
      <c r="AB4" s="366"/>
      <c r="AC4" s="366"/>
      <c r="AD4" s="366"/>
      <c r="AE4" s="367"/>
      <c r="AF4" s="6"/>
      <c r="AG4" s="365" t="s">
        <v>82</v>
      </c>
      <c r="AH4" s="366"/>
      <c r="AI4" s="366"/>
      <c r="AJ4" s="366"/>
      <c r="AK4" s="366"/>
      <c r="AL4" s="366"/>
      <c r="AM4" s="366"/>
      <c r="AN4" s="366"/>
      <c r="AO4" s="367"/>
      <c r="AP4" s="6"/>
      <c r="AQ4" s="368" t="s">
        <v>83</v>
      </c>
      <c r="AR4" s="369"/>
      <c r="AS4" s="369"/>
      <c r="AT4" s="369"/>
      <c r="AU4" s="369"/>
      <c r="AV4" s="370"/>
      <c r="AW4" s="4"/>
    </row>
    <row r="5" spans="1:49" ht="13.5" thickBot="1">
      <c r="A5" s="4"/>
      <c r="B5" s="5"/>
      <c r="C5" s="362" t="s">
        <v>84</v>
      </c>
      <c r="D5" s="363"/>
      <c r="E5" s="364"/>
      <c r="F5" s="362" t="s">
        <v>85</v>
      </c>
      <c r="G5" s="363"/>
      <c r="H5" s="364"/>
      <c r="I5" s="362" t="s">
        <v>86</v>
      </c>
      <c r="J5" s="363"/>
      <c r="K5" s="364"/>
      <c r="L5" s="6"/>
      <c r="M5" s="362" t="s">
        <v>84</v>
      </c>
      <c r="N5" s="363"/>
      <c r="O5" s="364"/>
      <c r="P5" s="362" t="s">
        <v>85</v>
      </c>
      <c r="Q5" s="363"/>
      <c r="R5" s="364"/>
      <c r="S5" s="362" t="s">
        <v>86</v>
      </c>
      <c r="T5" s="363"/>
      <c r="U5" s="364"/>
      <c r="V5" s="6"/>
      <c r="W5" s="362" t="s">
        <v>84</v>
      </c>
      <c r="X5" s="363"/>
      <c r="Y5" s="364"/>
      <c r="Z5" s="362" t="s">
        <v>85</v>
      </c>
      <c r="AA5" s="363"/>
      <c r="AB5" s="364"/>
      <c r="AC5" s="362" t="s">
        <v>86</v>
      </c>
      <c r="AD5" s="363"/>
      <c r="AE5" s="364"/>
      <c r="AF5" s="6"/>
      <c r="AG5" s="362" t="s">
        <v>84</v>
      </c>
      <c r="AH5" s="363"/>
      <c r="AI5" s="364"/>
      <c r="AJ5" s="362" t="s">
        <v>85</v>
      </c>
      <c r="AK5" s="363"/>
      <c r="AL5" s="364"/>
      <c r="AM5" s="362" t="s">
        <v>86</v>
      </c>
      <c r="AN5" s="363"/>
      <c r="AO5" s="364"/>
      <c r="AP5" s="6"/>
      <c r="AQ5" s="362" t="s">
        <v>84</v>
      </c>
      <c r="AR5" s="364"/>
      <c r="AS5" s="362" t="s">
        <v>85</v>
      </c>
      <c r="AT5" s="364"/>
      <c r="AU5" s="362" t="s">
        <v>86</v>
      </c>
      <c r="AV5" s="364"/>
      <c r="AW5" s="4"/>
    </row>
    <row r="6" spans="1:49" ht="39" thickBot="1">
      <c r="A6" s="4"/>
      <c r="B6" s="7" t="s">
        <v>45</v>
      </c>
      <c r="C6" s="8" t="s">
        <v>52</v>
      </c>
      <c r="D6" s="9" t="s">
        <v>87</v>
      </c>
      <c r="E6" s="10" t="s">
        <v>88</v>
      </c>
      <c r="F6" s="8" t="s">
        <v>52</v>
      </c>
      <c r="G6" s="9" t="s">
        <v>87</v>
      </c>
      <c r="H6" s="10" t="s">
        <v>88</v>
      </c>
      <c r="I6" s="8" t="s">
        <v>52</v>
      </c>
      <c r="J6" s="9" t="s">
        <v>87</v>
      </c>
      <c r="K6" s="10" t="s">
        <v>88</v>
      </c>
      <c r="L6" s="6"/>
      <c r="M6" s="11" t="s">
        <v>52</v>
      </c>
      <c r="N6" s="12" t="s">
        <v>87</v>
      </c>
      <c r="O6" s="13" t="s">
        <v>88</v>
      </c>
      <c r="P6" s="11" t="s">
        <v>52</v>
      </c>
      <c r="Q6" s="12" t="s">
        <v>87</v>
      </c>
      <c r="R6" s="13" t="s">
        <v>88</v>
      </c>
      <c r="S6" s="11" t="s">
        <v>52</v>
      </c>
      <c r="T6" s="12" t="s">
        <v>87</v>
      </c>
      <c r="U6" s="13" t="s">
        <v>88</v>
      </c>
      <c r="V6" s="6"/>
      <c r="W6" s="11" t="s">
        <v>52</v>
      </c>
      <c r="X6" s="12" t="s">
        <v>87</v>
      </c>
      <c r="Y6" s="13" t="s">
        <v>88</v>
      </c>
      <c r="Z6" s="11" t="s">
        <v>52</v>
      </c>
      <c r="AA6" s="12" t="s">
        <v>87</v>
      </c>
      <c r="AB6" s="13" t="s">
        <v>88</v>
      </c>
      <c r="AC6" s="11" t="s">
        <v>52</v>
      </c>
      <c r="AD6" s="12" t="s">
        <v>87</v>
      </c>
      <c r="AE6" s="13" t="s">
        <v>88</v>
      </c>
      <c r="AF6" s="6"/>
      <c r="AG6" s="11" t="s">
        <v>52</v>
      </c>
      <c r="AH6" s="12" t="s">
        <v>87</v>
      </c>
      <c r="AI6" s="13" t="s">
        <v>88</v>
      </c>
      <c r="AJ6" s="11" t="s">
        <v>52</v>
      </c>
      <c r="AK6" s="12" t="s">
        <v>87</v>
      </c>
      <c r="AL6" s="13" t="s">
        <v>88</v>
      </c>
      <c r="AM6" s="11" t="s">
        <v>52</v>
      </c>
      <c r="AN6" s="12" t="s">
        <v>87</v>
      </c>
      <c r="AO6" s="13" t="s">
        <v>88</v>
      </c>
      <c r="AP6" s="6"/>
      <c r="AQ6" s="14" t="s">
        <v>89</v>
      </c>
      <c r="AR6" s="15" t="s">
        <v>90</v>
      </c>
      <c r="AS6" s="14" t="s">
        <v>89</v>
      </c>
      <c r="AT6" s="15" t="s">
        <v>90</v>
      </c>
      <c r="AU6" s="14" t="s">
        <v>89</v>
      </c>
      <c r="AV6" s="13" t="s">
        <v>90</v>
      </c>
      <c r="AW6" s="4"/>
    </row>
    <row r="7" spans="1:49" ht="12.75">
      <c r="A7" s="4"/>
      <c r="B7" s="16">
        <v>2010</v>
      </c>
      <c r="C7" s="17">
        <v>13.580167876195008</v>
      </c>
      <c r="D7" s="18">
        <v>8.431306063122923</v>
      </c>
      <c r="E7" s="19">
        <v>7.188288586753237</v>
      </c>
      <c r="F7" s="17">
        <v>13.580167876195008</v>
      </c>
      <c r="G7" s="18">
        <v>8.431306063122923</v>
      </c>
      <c r="H7" s="19">
        <v>7.188288586753237</v>
      </c>
      <c r="I7" s="17">
        <v>13.580167876195008</v>
      </c>
      <c r="J7" s="18">
        <v>8.431306063122923</v>
      </c>
      <c r="K7" s="19">
        <v>7.188288586753237</v>
      </c>
      <c r="L7" s="6"/>
      <c r="M7" s="20">
        <v>3.8484243293019533</v>
      </c>
      <c r="N7" s="21">
        <v>2.550379983388704</v>
      </c>
      <c r="O7" s="22">
        <v>1.8975025455921526</v>
      </c>
      <c r="P7" s="20">
        <v>3.8484243293019533</v>
      </c>
      <c r="Q7" s="21">
        <v>2.550379983388704</v>
      </c>
      <c r="R7" s="22">
        <v>1.8975025455921526</v>
      </c>
      <c r="S7" s="20">
        <v>3.8484243293019533</v>
      </c>
      <c r="T7" s="21">
        <v>2.550379983388704</v>
      </c>
      <c r="U7" s="22">
        <v>1.8975025455921526</v>
      </c>
      <c r="V7" s="6"/>
      <c r="W7" s="20">
        <v>4.377150079719253</v>
      </c>
      <c r="X7" s="21">
        <v>1.4994053342178923</v>
      </c>
      <c r="Y7" s="22">
        <v>1.2322869399936904</v>
      </c>
      <c r="Z7" s="20">
        <v>4.168714361637384</v>
      </c>
      <c r="AA7" s="21">
        <v>1.4994053342178923</v>
      </c>
      <c r="AB7" s="22">
        <v>1.2322869399936904</v>
      </c>
      <c r="AC7" s="20">
        <v>4.377150079719253</v>
      </c>
      <c r="AD7" s="21">
        <v>1.4994053342178923</v>
      </c>
      <c r="AE7" s="22">
        <v>1.2322869399936904</v>
      </c>
      <c r="AF7" s="6"/>
      <c r="AG7" s="17">
        <v>48.54456961391646</v>
      </c>
      <c r="AH7" s="18">
        <v>56.64523876933494</v>
      </c>
      <c r="AI7" s="19">
        <v>54.18892039436173</v>
      </c>
      <c r="AJ7" s="17">
        <v>48.54456961391646</v>
      </c>
      <c r="AK7" s="18">
        <v>56.64523876933494</v>
      </c>
      <c r="AL7" s="19">
        <v>54.18892039436173</v>
      </c>
      <c r="AM7" s="17">
        <v>48.54456961391646</v>
      </c>
      <c r="AN7" s="18">
        <v>56.64523876933494</v>
      </c>
      <c r="AO7" s="19">
        <v>54.18892039436173</v>
      </c>
      <c r="AP7" s="6"/>
      <c r="AQ7" s="20">
        <v>125.19041932350927</v>
      </c>
      <c r="AR7" s="21">
        <v>127.37504522264365</v>
      </c>
      <c r="AS7" s="20">
        <v>125.19041932350927</v>
      </c>
      <c r="AT7" s="21">
        <v>127.37504522264365</v>
      </c>
      <c r="AU7" s="20">
        <v>125.19041932350927</v>
      </c>
      <c r="AV7" s="22">
        <v>127.37504522264365</v>
      </c>
      <c r="AW7" s="4"/>
    </row>
    <row r="8" spans="1:49" ht="12.75">
      <c r="A8" s="4"/>
      <c r="B8" s="23">
        <v>2011</v>
      </c>
      <c r="C8" s="17">
        <v>14.232999017991625</v>
      </c>
      <c r="D8" s="18">
        <v>8.573604726678639</v>
      </c>
      <c r="E8" s="19">
        <v>7.44989838416369</v>
      </c>
      <c r="F8" s="17">
        <v>14.232999017991625</v>
      </c>
      <c r="G8" s="18">
        <v>8.573604726678639</v>
      </c>
      <c r="H8" s="19">
        <v>7.44989838416369</v>
      </c>
      <c r="I8" s="17">
        <v>14.232999017991625</v>
      </c>
      <c r="J8" s="18">
        <v>8.573604726678639</v>
      </c>
      <c r="K8" s="19">
        <v>7.44989838416369</v>
      </c>
      <c r="L8" s="6"/>
      <c r="M8" s="17">
        <v>4.162402711599014</v>
      </c>
      <c r="N8" s="18">
        <v>2.671723898241448</v>
      </c>
      <c r="O8" s="19">
        <v>2.2468539479657443</v>
      </c>
      <c r="P8" s="17">
        <v>4.162402711599014</v>
      </c>
      <c r="Q8" s="18">
        <v>2.671723898241448</v>
      </c>
      <c r="R8" s="19">
        <v>2.2468539479657443</v>
      </c>
      <c r="S8" s="17">
        <v>4.162402711599014</v>
      </c>
      <c r="T8" s="18">
        <v>2.671723898241448</v>
      </c>
      <c r="U8" s="19">
        <v>2.2468539479657443</v>
      </c>
      <c r="V8" s="6"/>
      <c r="W8" s="17">
        <v>4.34704994245463</v>
      </c>
      <c r="X8" s="18">
        <v>1.5485807299770118</v>
      </c>
      <c r="Y8" s="19">
        <v>1.2550336680440572</v>
      </c>
      <c r="Z8" s="17">
        <v>4.140047564242504</v>
      </c>
      <c r="AA8" s="18">
        <v>1.5485807299770118</v>
      </c>
      <c r="AB8" s="19">
        <v>1.2550336680440572</v>
      </c>
      <c r="AC8" s="17">
        <v>4.34704994245463</v>
      </c>
      <c r="AD8" s="18">
        <v>1.5485807299770118</v>
      </c>
      <c r="AE8" s="19">
        <v>1.2550336680440572</v>
      </c>
      <c r="AF8" s="6"/>
      <c r="AG8" s="17">
        <v>60.47739825977637</v>
      </c>
      <c r="AH8" s="18">
        <v>68.08492719708292</v>
      </c>
      <c r="AI8" s="19">
        <v>65.59319395643793</v>
      </c>
      <c r="AJ8" s="17">
        <v>60.47739825977637</v>
      </c>
      <c r="AK8" s="18">
        <v>68.08492719708292</v>
      </c>
      <c r="AL8" s="19">
        <v>65.59319395643793</v>
      </c>
      <c r="AM8" s="17">
        <v>60.47739825977637</v>
      </c>
      <c r="AN8" s="18">
        <v>68.08492719708292</v>
      </c>
      <c r="AO8" s="19">
        <v>65.59319395643793</v>
      </c>
      <c r="AP8" s="6"/>
      <c r="AQ8" s="17">
        <v>138.84353135447046</v>
      </c>
      <c r="AR8" s="18">
        <v>144.19991919716102</v>
      </c>
      <c r="AS8" s="17">
        <v>138.84353135447046</v>
      </c>
      <c r="AT8" s="18">
        <v>144.19991919716102</v>
      </c>
      <c r="AU8" s="17">
        <v>138.84353135447046</v>
      </c>
      <c r="AV8" s="19">
        <v>144.19991919716102</v>
      </c>
      <c r="AW8" s="4"/>
    </row>
    <row r="9" spans="1:49" ht="12.75">
      <c r="A9" s="4"/>
      <c r="B9" s="23">
        <v>2012</v>
      </c>
      <c r="C9" s="24">
        <v>14.819969696969697</v>
      </c>
      <c r="D9" s="25">
        <v>9.182873999999998</v>
      </c>
      <c r="E9" s="26">
        <v>7.793543299442163</v>
      </c>
      <c r="F9" s="24">
        <v>14.819969696969697</v>
      </c>
      <c r="G9" s="25">
        <v>9.182873999999998</v>
      </c>
      <c r="H9" s="26">
        <v>7.793543299442163</v>
      </c>
      <c r="I9" s="24">
        <v>14.819969696969697</v>
      </c>
      <c r="J9" s="25">
        <v>9.182873999999998</v>
      </c>
      <c r="K9" s="26">
        <v>7.793543299442163</v>
      </c>
      <c r="L9" s="6"/>
      <c r="M9" s="24">
        <v>4.5377777777777775</v>
      </c>
      <c r="N9" s="25">
        <v>3.129344075385433</v>
      </c>
      <c r="O9" s="26">
        <v>2.421262409294282</v>
      </c>
      <c r="P9" s="24">
        <v>4.5377777777777775</v>
      </c>
      <c r="Q9" s="25">
        <v>3.129344075385433</v>
      </c>
      <c r="R9" s="26">
        <v>2.421262409294282</v>
      </c>
      <c r="S9" s="24">
        <v>4.5377777777777775</v>
      </c>
      <c r="T9" s="25">
        <v>3.129344075385433</v>
      </c>
      <c r="U9" s="26">
        <v>2.421262409294282</v>
      </c>
      <c r="V9" s="6"/>
      <c r="W9" s="24">
        <v>4.45148085598473</v>
      </c>
      <c r="X9" s="25">
        <v>1.495911031600678</v>
      </c>
      <c r="Y9" s="26">
        <v>1.0910422397729214</v>
      </c>
      <c r="Z9" s="24">
        <v>4.239505577128314</v>
      </c>
      <c r="AA9" s="25">
        <v>1.495911031600678</v>
      </c>
      <c r="AB9" s="26">
        <v>1.0910422397729214</v>
      </c>
      <c r="AC9" s="24">
        <v>4.45148085598473</v>
      </c>
      <c r="AD9" s="25">
        <v>1.495911031600678</v>
      </c>
      <c r="AE9" s="26">
        <v>1.0910422397729214</v>
      </c>
      <c r="AF9" s="6"/>
      <c r="AG9" s="24">
        <v>60.53295418039909</v>
      </c>
      <c r="AH9" s="25">
        <v>70.53107239345509</v>
      </c>
      <c r="AI9" s="26">
        <v>67.0585360064688</v>
      </c>
      <c r="AJ9" s="24">
        <v>60.53295418039909</v>
      </c>
      <c r="AK9" s="25">
        <v>70.53107239345509</v>
      </c>
      <c r="AL9" s="26">
        <v>67.0585360064688</v>
      </c>
      <c r="AM9" s="24">
        <v>60.53295418039909</v>
      </c>
      <c r="AN9" s="25">
        <v>70.53107239345509</v>
      </c>
      <c r="AO9" s="26">
        <v>67.0585360064688</v>
      </c>
      <c r="AP9" s="6"/>
      <c r="AQ9" s="17">
        <v>138.4866616565333</v>
      </c>
      <c r="AR9" s="18">
        <v>144.80665321905624</v>
      </c>
      <c r="AS9" s="17">
        <v>138.4866616565333</v>
      </c>
      <c r="AT9" s="18">
        <v>144.80665321905624</v>
      </c>
      <c r="AU9" s="17">
        <v>138.4866616565333</v>
      </c>
      <c r="AV9" s="19">
        <v>144.80665321905624</v>
      </c>
      <c r="AW9" s="4"/>
    </row>
    <row r="10" spans="1:49" ht="12.75">
      <c r="A10" s="4"/>
      <c r="B10" s="23">
        <v>2013</v>
      </c>
      <c r="C10" s="24">
        <v>16.079411582372234</v>
      </c>
      <c r="D10" s="25">
        <v>8.774924031411143</v>
      </c>
      <c r="E10" s="26">
        <v>7.4808121179489095</v>
      </c>
      <c r="F10" s="24">
        <v>16.104820048009408</v>
      </c>
      <c r="G10" s="25">
        <v>9.51103314975716</v>
      </c>
      <c r="H10" s="26">
        <v>8.189909132232957</v>
      </c>
      <c r="I10" s="24">
        <v>16.122744098655062</v>
      </c>
      <c r="J10" s="25">
        <v>10.24707907268243</v>
      </c>
      <c r="K10" s="26">
        <v>8.899078401549133</v>
      </c>
      <c r="L10" s="6"/>
      <c r="M10" s="24">
        <v>4.627814438836326</v>
      </c>
      <c r="N10" s="25">
        <v>2.8215540560034533</v>
      </c>
      <c r="O10" s="26">
        <v>2.3107727502748747</v>
      </c>
      <c r="P10" s="24">
        <v>4.627814438836326</v>
      </c>
      <c r="Q10" s="25">
        <v>3.187878996567267</v>
      </c>
      <c r="R10" s="26">
        <v>2.6770976908386888</v>
      </c>
      <c r="S10" s="24">
        <v>4.627814438836326</v>
      </c>
      <c r="T10" s="25">
        <v>3.5580599891370146</v>
      </c>
      <c r="U10" s="26">
        <v>3.0472786834084356</v>
      </c>
      <c r="V10" s="6"/>
      <c r="W10" s="24">
        <v>3.622076548807719</v>
      </c>
      <c r="X10" s="25">
        <v>1.2992045820972211</v>
      </c>
      <c r="Y10" s="26">
        <v>1.0007597435311673</v>
      </c>
      <c r="Z10" s="24">
        <v>3.528750404367838</v>
      </c>
      <c r="AA10" s="25">
        <v>1.3409963937221578</v>
      </c>
      <c r="AB10" s="26">
        <v>1.0425515551561042</v>
      </c>
      <c r="AC10" s="24">
        <v>3.7882993003647423</v>
      </c>
      <c r="AD10" s="25">
        <v>1.382788205347095</v>
      </c>
      <c r="AE10" s="26">
        <v>1.0843433667810412</v>
      </c>
      <c r="AF10" s="6"/>
      <c r="AG10" s="24">
        <v>52.498349570985376</v>
      </c>
      <c r="AH10" s="25">
        <v>59.399046843952846</v>
      </c>
      <c r="AI10" s="26">
        <v>57.17612958274812</v>
      </c>
      <c r="AJ10" s="24">
        <v>59.40456429379772</v>
      </c>
      <c r="AK10" s="25">
        <v>66.42126615196574</v>
      </c>
      <c r="AL10" s="26">
        <v>64.198348890761</v>
      </c>
      <c r="AM10" s="24">
        <v>66.31077901661007</v>
      </c>
      <c r="AN10" s="25">
        <v>73.44348545997862</v>
      </c>
      <c r="AO10" s="26">
        <v>71.22056819877389</v>
      </c>
      <c r="AP10" s="6"/>
      <c r="AQ10" s="24">
        <v>126.55168968530889</v>
      </c>
      <c r="AR10" s="25">
        <v>132.48441243240035</v>
      </c>
      <c r="AS10" s="24">
        <v>133.77474777905826</v>
      </c>
      <c r="AT10" s="25">
        <v>140.72758042411797</v>
      </c>
      <c r="AU10" s="24">
        <v>140.99780587280765</v>
      </c>
      <c r="AV10" s="26">
        <v>148.97074841583557</v>
      </c>
      <c r="AW10" s="4"/>
    </row>
    <row r="11" spans="1:49" ht="12.75">
      <c r="A11" s="4"/>
      <c r="B11" s="23">
        <v>2014</v>
      </c>
      <c r="C11" s="24">
        <v>15.384770965027185</v>
      </c>
      <c r="D11" s="25">
        <v>9.230166603332997</v>
      </c>
      <c r="E11" s="26">
        <v>7.8834051744071525</v>
      </c>
      <c r="F11" s="24">
        <v>16.047461187378772</v>
      </c>
      <c r="G11" s="25">
        <v>10.405510263884798</v>
      </c>
      <c r="H11" s="26">
        <v>9.017970262508637</v>
      </c>
      <c r="I11" s="24">
        <v>16.79523391778568</v>
      </c>
      <c r="J11" s="25">
        <v>11.939302348444917</v>
      </c>
      <c r="K11" s="26">
        <v>10.532637029263048</v>
      </c>
      <c r="L11" s="6"/>
      <c r="M11" s="24">
        <v>4.43738317442108</v>
      </c>
      <c r="N11" s="25">
        <v>2.7382124446175613</v>
      </c>
      <c r="O11" s="26">
        <v>2.2256136150121564</v>
      </c>
      <c r="P11" s="24">
        <v>4.834574832903302</v>
      </c>
      <c r="Q11" s="25">
        <v>3.316620245507792</v>
      </c>
      <c r="R11" s="26">
        <v>2.8040214159023877</v>
      </c>
      <c r="S11" s="24">
        <v>5.235682631228197</v>
      </c>
      <c r="T11" s="25">
        <v>4.145671426783791</v>
      </c>
      <c r="U11" s="26">
        <v>3.6330725971783857</v>
      </c>
      <c r="V11" s="6"/>
      <c r="W11" s="24">
        <v>3.6383374701556876</v>
      </c>
      <c r="X11" s="25">
        <v>1.3096840594783117</v>
      </c>
      <c r="Y11" s="26">
        <v>1.0095867822386306</v>
      </c>
      <c r="Z11" s="24">
        <v>3.6354358142698615</v>
      </c>
      <c r="AA11" s="25">
        <v>1.3996273062363283</v>
      </c>
      <c r="AB11" s="26">
        <v>1.0995300289966472</v>
      </c>
      <c r="AC11" s="24">
        <v>3.9942709707723596</v>
      </c>
      <c r="AD11" s="25">
        <v>1.4886620353503244</v>
      </c>
      <c r="AE11" s="26">
        <v>1.1885647581106435</v>
      </c>
      <c r="AF11" s="6"/>
      <c r="AG11" s="24">
        <v>51.899810961674966</v>
      </c>
      <c r="AH11" s="25">
        <v>58.6885198634022</v>
      </c>
      <c r="AI11" s="26">
        <v>56.46560260219747</v>
      </c>
      <c r="AJ11" s="24">
        <v>60.00310290310811</v>
      </c>
      <c r="AK11" s="25">
        <v>66.92792385147062</v>
      </c>
      <c r="AL11" s="26">
        <v>64.70500659026588</v>
      </c>
      <c r="AM11" s="24">
        <v>67.83014625562879</v>
      </c>
      <c r="AN11" s="25">
        <v>74.88643906721856</v>
      </c>
      <c r="AO11" s="26">
        <v>72.66352180601383</v>
      </c>
      <c r="AP11" s="6"/>
      <c r="AQ11" s="24">
        <v>125.28937759169375</v>
      </c>
      <c r="AR11" s="25">
        <v>131.13369081429462</v>
      </c>
      <c r="AS11" s="24">
        <v>133.76443242169304</v>
      </c>
      <c r="AT11" s="25">
        <v>140.80567459124333</v>
      </c>
      <c r="AU11" s="24">
        <v>141.95056492794234</v>
      </c>
      <c r="AV11" s="26">
        <v>150.1479316485233</v>
      </c>
      <c r="AW11" s="4"/>
    </row>
    <row r="12" spans="1:49" ht="12.75">
      <c r="A12" s="4"/>
      <c r="B12" s="23">
        <v>2015</v>
      </c>
      <c r="C12" s="24">
        <v>15.992526730856333</v>
      </c>
      <c r="D12" s="25">
        <v>9.76936092111887</v>
      </c>
      <c r="E12" s="26">
        <v>8.432628663024573</v>
      </c>
      <c r="F12" s="24">
        <v>17.072392985601123</v>
      </c>
      <c r="G12" s="25">
        <v>11.25659091302553</v>
      </c>
      <c r="H12" s="26">
        <v>9.87329723801407</v>
      </c>
      <c r="I12" s="24">
        <v>18.837048185564914</v>
      </c>
      <c r="J12" s="25">
        <v>12.802778073664728</v>
      </c>
      <c r="K12" s="26">
        <v>11.399944700967966</v>
      </c>
      <c r="L12" s="6"/>
      <c r="M12" s="24">
        <v>4.3819429378009955</v>
      </c>
      <c r="N12" s="25">
        <v>2.6548708332316684</v>
      </c>
      <c r="O12" s="26">
        <v>2.1411989708432535</v>
      </c>
      <c r="P12" s="24">
        <v>5.009823029575803</v>
      </c>
      <c r="Q12" s="25">
        <v>3.4415054424423825</v>
      </c>
      <c r="R12" s="26">
        <v>2.927833580053968</v>
      </c>
      <c r="S12" s="24">
        <v>5.908626051187464</v>
      </c>
      <c r="T12" s="25">
        <v>4.24742031168277</v>
      </c>
      <c r="U12" s="26">
        <v>3.7337484492943553</v>
      </c>
      <c r="V12" s="6"/>
      <c r="W12" s="24">
        <v>3.6527916224649934</v>
      </c>
      <c r="X12" s="25">
        <v>1.3210217199175556</v>
      </c>
      <c r="Y12" s="26">
        <v>1.0180042686367596</v>
      </c>
      <c r="Z12" s="24">
        <v>3.7438419565896606</v>
      </c>
      <c r="AA12" s="25">
        <v>1.4609334370966924</v>
      </c>
      <c r="AB12" s="26">
        <v>1.1579159858158967</v>
      </c>
      <c r="AC12" s="24">
        <v>4.090029729821515</v>
      </c>
      <c r="AD12" s="25">
        <v>1.5408829897704848</v>
      </c>
      <c r="AE12" s="26">
        <v>1.237865538489689</v>
      </c>
      <c r="AF12" s="6"/>
      <c r="AG12" s="24">
        <v>51.301272352364556</v>
      </c>
      <c r="AH12" s="25">
        <v>58.21696567327748</v>
      </c>
      <c r="AI12" s="26">
        <v>55.99404841207274</v>
      </c>
      <c r="AJ12" s="24">
        <v>60.64768294390395</v>
      </c>
      <c r="AK12" s="25">
        <v>67.72036913678824</v>
      </c>
      <c r="AL12" s="26">
        <v>65.49745187558351</v>
      </c>
      <c r="AM12" s="24">
        <v>69.39555492613292</v>
      </c>
      <c r="AN12" s="25">
        <v>76.6151802602712</v>
      </c>
      <c r="AO12" s="26">
        <v>74.39226299906646</v>
      </c>
      <c r="AP12" s="6"/>
      <c r="AQ12" s="24">
        <v>125.5188220372365</v>
      </c>
      <c r="AR12" s="25">
        <v>131.2747257353468</v>
      </c>
      <c r="AS12" s="24">
        <v>135.29402732411066</v>
      </c>
      <c r="AT12" s="25">
        <v>142.43047975080466</v>
      </c>
      <c r="AU12" s="24">
        <v>144.44323424285983</v>
      </c>
      <c r="AV12" s="26">
        <v>152.87182587364697</v>
      </c>
      <c r="AW12" s="4"/>
    </row>
    <row r="13" spans="1:49" ht="12.75">
      <c r="A13" s="4"/>
      <c r="B13" s="23">
        <v>2016</v>
      </c>
      <c r="C13" s="24">
        <v>16.406107524984108</v>
      </c>
      <c r="D13" s="25">
        <v>9.884580316347703</v>
      </c>
      <c r="E13" s="26">
        <v>8.548736425243858</v>
      </c>
      <c r="F13" s="24">
        <v>17.958347352219114</v>
      </c>
      <c r="G13" s="25">
        <v>11.700323578457475</v>
      </c>
      <c r="H13" s="26">
        <v>10.31657189093684</v>
      </c>
      <c r="I13" s="24">
        <v>19.157896730139143</v>
      </c>
      <c r="J13" s="25">
        <v>13.373510643204808</v>
      </c>
      <c r="K13" s="26">
        <v>11.964200819688665</v>
      </c>
      <c r="L13" s="6"/>
      <c r="M13" s="24">
        <v>4.283579950413811</v>
      </c>
      <c r="N13" s="25">
        <v>2.5715292218457755</v>
      </c>
      <c r="O13" s="26">
        <v>2.057010352138624</v>
      </c>
      <c r="P13" s="24">
        <v>5.137145503340898</v>
      </c>
      <c r="Q13" s="25">
        <v>3.485413547252341</v>
      </c>
      <c r="R13" s="26">
        <v>2.9708946775451888</v>
      </c>
      <c r="S13" s="24">
        <v>6.0104215884470795</v>
      </c>
      <c r="T13" s="25">
        <v>4.349169196581754</v>
      </c>
      <c r="U13" s="26">
        <v>3.834650326874602</v>
      </c>
      <c r="V13" s="6"/>
      <c r="W13" s="24">
        <v>3.6690525438129646</v>
      </c>
      <c r="X13" s="25">
        <v>1.3345025739338352</v>
      </c>
      <c r="Y13" s="26">
        <v>1.027678979445928</v>
      </c>
      <c r="Z13" s="24">
        <v>3.8092297884650956</v>
      </c>
      <c r="AA13" s="25">
        <v>1.5007613027895628</v>
      </c>
      <c r="AB13" s="26">
        <v>1.1939377083016558</v>
      </c>
      <c r="AC13" s="24">
        <v>4.185788488870671</v>
      </c>
      <c r="AD13" s="25">
        <v>1.594338620123661</v>
      </c>
      <c r="AE13" s="26">
        <v>1.2875150256357535</v>
      </c>
      <c r="AF13" s="6"/>
      <c r="AG13" s="24">
        <v>50.70273374305416</v>
      </c>
      <c r="AH13" s="25">
        <v>57.7330557861823</v>
      </c>
      <c r="AI13" s="26">
        <v>55.51013852497756</v>
      </c>
      <c r="AJ13" s="24">
        <v>61.24622155321433</v>
      </c>
      <c r="AK13" s="25">
        <v>68.45364392974862</v>
      </c>
      <c r="AL13" s="26">
        <v>66.23072666854388</v>
      </c>
      <c r="AM13" s="24">
        <v>71.00700502812245</v>
      </c>
      <c r="AN13" s="25">
        <v>78.37838055174015</v>
      </c>
      <c r="AO13" s="26">
        <v>76.15546329053542</v>
      </c>
      <c r="AP13" s="6"/>
      <c r="AQ13" s="24">
        <v>125.67113765267838</v>
      </c>
      <c r="AR13" s="25">
        <v>131.33863182629807</v>
      </c>
      <c r="AS13" s="24">
        <v>136.6983396758024</v>
      </c>
      <c r="AT13" s="25">
        <v>143.92320162698695</v>
      </c>
      <c r="AU13" s="24">
        <v>146.90692844830156</v>
      </c>
      <c r="AV13" s="26">
        <v>155.57354572194788</v>
      </c>
      <c r="AW13" s="4"/>
    </row>
    <row r="14" spans="1:49" ht="12.75">
      <c r="A14" s="4"/>
      <c r="B14" s="23">
        <v>2017</v>
      </c>
      <c r="C14" s="24">
        <v>16.805683620056687</v>
      </c>
      <c r="D14" s="25">
        <v>9.980155203211124</v>
      </c>
      <c r="E14" s="26">
        <v>8.64279610211853</v>
      </c>
      <c r="F14" s="24">
        <v>18.620465370459666</v>
      </c>
      <c r="G14" s="25">
        <v>12.014490905727598</v>
      </c>
      <c r="H14" s="26">
        <v>10.628992636662844</v>
      </c>
      <c r="I14" s="24">
        <v>20.199259885738837</v>
      </c>
      <c r="J14" s="25">
        <v>13.712474880185336</v>
      </c>
      <c r="K14" s="26">
        <v>12.29276232113569</v>
      </c>
      <c r="L14" s="6"/>
      <c r="M14" s="24">
        <v>4.231251403825244</v>
      </c>
      <c r="N14" s="25">
        <v>2.4920436624658184</v>
      </c>
      <c r="O14" s="26">
        <v>1.9765041233751186</v>
      </c>
      <c r="P14" s="24">
        <v>5.224296226640518</v>
      </c>
      <c r="Q14" s="25">
        <v>3.5563140161038436</v>
      </c>
      <c r="R14" s="26">
        <v>3.040774477013144</v>
      </c>
      <c r="S14" s="24">
        <v>6.161276162352517</v>
      </c>
      <c r="T14" s="25">
        <v>4.450918081480736</v>
      </c>
      <c r="U14" s="26">
        <v>3.935378542390036</v>
      </c>
      <c r="V14" s="6"/>
      <c r="W14" s="24">
        <v>3.6835066961222704</v>
      </c>
      <c r="X14" s="25">
        <v>1.3483747365793028</v>
      </c>
      <c r="Y14" s="26">
        <v>1.0368122796432102</v>
      </c>
      <c r="Z14" s="24">
        <v>3.874617620340529</v>
      </c>
      <c r="AA14" s="25">
        <v>1.5418889947556416</v>
      </c>
      <c r="AB14" s="26">
        <v>1.2303265378195491</v>
      </c>
      <c r="AC14" s="24">
        <v>4.281547247919826</v>
      </c>
      <c r="AD14" s="25">
        <v>1.6490940767500453</v>
      </c>
      <c r="AE14" s="26">
        <v>1.3375316198139526</v>
      </c>
      <c r="AF14" s="6"/>
      <c r="AG14" s="24">
        <v>50.15023656522918</v>
      </c>
      <c r="AH14" s="25">
        <v>57.3530689933575</v>
      </c>
      <c r="AI14" s="26">
        <v>55.13015173215277</v>
      </c>
      <c r="AJ14" s="24">
        <v>61.89080159401017</v>
      </c>
      <c r="AK14" s="25">
        <v>69.2908418169794</v>
      </c>
      <c r="AL14" s="26">
        <v>67.06792455577467</v>
      </c>
      <c r="AM14" s="24">
        <v>72.66449656159742</v>
      </c>
      <c r="AN14" s="25">
        <v>80.24550393747948</v>
      </c>
      <c r="AO14" s="26">
        <v>78.02258667627476</v>
      </c>
      <c r="AP14" s="6"/>
      <c r="AQ14" s="24">
        <v>126.22809811121972</v>
      </c>
      <c r="AR14" s="25">
        <v>131.813983493002</v>
      </c>
      <c r="AS14" s="24">
        <v>138.50729687059368</v>
      </c>
      <c r="AT14" s="25">
        <v>145.82736907892198</v>
      </c>
      <c r="AU14" s="24">
        <v>149.7752674968427</v>
      </c>
      <c r="AV14" s="26">
        <v>158.6867111460015</v>
      </c>
      <c r="AW14" s="4"/>
    </row>
    <row r="15" spans="1:49" ht="12.75">
      <c r="A15" s="4"/>
      <c r="B15" s="23">
        <v>2018</v>
      </c>
      <c r="C15" s="24">
        <v>16.78207982961939</v>
      </c>
      <c r="D15" s="25">
        <v>10.236843713964271</v>
      </c>
      <c r="E15" s="26">
        <v>8.899510659289529</v>
      </c>
      <c r="F15" s="24">
        <v>18.946791187701315</v>
      </c>
      <c r="G15" s="25">
        <v>12.44840670642695</v>
      </c>
      <c r="H15" s="26">
        <v>11.064569732632787</v>
      </c>
      <c r="I15" s="24">
        <v>20.64114863256351</v>
      </c>
      <c r="J15" s="25">
        <v>14.153994114827505</v>
      </c>
      <c r="K15" s="26">
        <v>12.727192115726089</v>
      </c>
      <c r="L15" s="6"/>
      <c r="M15" s="24">
        <v>4.125806498045359</v>
      </c>
      <c r="N15" s="25">
        <v>2.408702051079926</v>
      </c>
      <c r="O15" s="26">
        <v>1.8921731582983932</v>
      </c>
      <c r="P15" s="24">
        <v>5.281369884467913</v>
      </c>
      <c r="Q15" s="25">
        <v>3.6272144849553465</v>
      </c>
      <c r="R15" s="26">
        <v>3.1106855921738137</v>
      </c>
      <c r="S15" s="24">
        <v>6.251023372889773</v>
      </c>
      <c r="T15" s="25">
        <v>4.556523018385651</v>
      </c>
      <c r="U15" s="26">
        <v>4.039994125604118</v>
      </c>
      <c r="V15" s="6"/>
      <c r="W15" s="24">
        <v>3.6997676174702403</v>
      </c>
      <c r="X15" s="25">
        <v>1.362712256104698</v>
      </c>
      <c r="Y15" s="26">
        <v>1.0467289365793844</v>
      </c>
      <c r="Z15" s="24">
        <v>3.940005452215963</v>
      </c>
      <c r="AA15" s="25">
        <v>1.582573525957628</v>
      </c>
      <c r="AB15" s="26">
        <v>1.2665902064323138</v>
      </c>
      <c r="AC15" s="24">
        <v>4.377306006968982</v>
      </c>
      <c r="AD15" s="25">
        <v>1.7034063726123372</v>
      </c>
      <c r="AE15" s="26">
        <v>1.387423053087023</v>
      </c>
      <c r="AF15" s="6"/>
      <c r="AG15" s="24">
        <v>49.55169795591878</v>
      </c>
      <c r="AH15" s="25">
        <v>56.95920447774583</v>
      </c>
      <c r="AI15" s="26">
        <v>54.7362872165411</v>
      </c>
      <c r="AJ15" s="24">
        <v>62.53538163480598</v>
      </c>
      <c r="AK15" s="25">
        <v>70.16097677681003</v>
      </c>
      <c r="AL15" s="26">
        <v>67.9380595156053</v>
      </c>
      <c r="AM15" s="24">
        <v>74.36802952655779</v>
      </c>
      <c r="AN15" s="25">
        <v>82.19237919120542</v>
      </c>
      <c r="AO15" s="26">
        <v>79.96946193000069</v>
      </c>
      <c r="AP15" s="6"/>
      <c r="AQ15" s="24">
        <v>126.94251023769948</v>
      </c>
      <c r="AR15" s="25">
        <v>132.43998609499116</v>
      </c>
      <c r="AS15" s="24">
        <v>140.5218594539483</v>
      </c>
      <c r="AT15" s="25">
        <v>147.93714191942027</v>
      </c>
      <c r="AU15" s="24">
        <v>152.89736565457224</v>
      </c>
      <c r="AV15" s="26">
        <v>162.0604364118965</v>
      </c>
      <c r="AW15" s="4"/>
    </row>
    <row r="16" spans="1:49" ht="12.75">
      <c r="A16" s="4"/>
      <c r="B16" s="23">
        <v>2019</v>
      </c>
      <c r="C16" s="24">
        <v>18.088128366771603</v>
      </c>
      <c r="D16" s="25">
        <v>11.736840632434236</v>
      </c>
      <c r="E16" s="26">
        <v>10.396448382768048</v>
      </c>
      <c r="F16" s="24">
        <v>20.384529563388714</v>
      </c>
      <c r="G16" s="25">
        <v>13.781571224425118</v>
      </c>
      <c r="H16" s="26">
        <v>12.39523002042062</v>
      </c>
      <c r="I16" s="24">
        <v>21.84502653959585</v>
      </c>
      <c r="J16" s="25">
        <v>15.31766676307424</v>
      </c>
      <c r="K16" s="26">
        <v>13.88836047229044</v>
      </c>
      <c r="L16" s="6"/>
      <c r="M16" s="24">
        <v>4.003663253245158</v>
      </c>
      <c r="N16" s="25">
        <v>2.417905687836471</v>
      </c>
      <c r="O16" s="26">
        <v>1.9003141781968442</v>
      </c>
      <c r="P16" s="24">
        <v>5.324979410225944</v>
      </c>
      <c r="Q16" s="25">
        <v>3.6364181217118916</v>
      </c>
      <c r="R16" s="26">
        <v>3.1188266120722647</v>
      </c>
      <c r="S16" s="24">
        <v>6.330992195719553</v>
      </c>
      <c r="T16" s="25">
        <v>4.665984007296504</v>
      </c>
      <c r="U16" s="26">
        <v>4.148392497656876</v>
      </c>
      <c r="V16" s="6"/>
      <c r="W16" s="24">
        <v>3.7142217697795465</v>
      </c>
      <c r="X16" s="25">
        <v>1.375380768321794</v>
      </c>
      <c r="Y16" s="26">
        <v>1.0555222924736516</v>
      </c>
      <c r="Z16" s="24">
        <v>4.005393284091396</v>
      </c>
      <c r="AA16" s="25">
        <v>1.6224975674953344</v>
      </c>
      <c r="AB16" s="26">
        <v>1.3026390916471922</v>
      </c>
      <c r="AC16" s="24">
        <v>4.473064766018138</v>
      </c>
      <c r="AD16" s="25">
        <v>1.7569581788103494</v>
      </c>
      <c r="AE16" s="26">
        <v>1.4370997029622072</v>
      </c>
      <c r="AF16" s="6"/>
      <c r="AG16" s="24">
        <v>48.999200778093794</v>
      </c>
      <c r="AH16" s="25">
        <v>56.61931727230007</v>
      </c>
      <c r="AI16" s="26">
        <v>54.396400011095345</v>
      </c>
      <c r="AJ16" s="24">
        <v>63.17996167560179</v>
      </c>
      <c r="AK16" s="25">
        <v>71.03827425141984</v>
      </c>
      <c r="AL16" s="26">
        <v>68.8153569902151</v>
      </c>
      <c r="AM16" s="24">
        <v>76.07156249151815</v>
      </c>
      <c r="AN16" s="25">
        <v>84.14641695971052</v>
      </c>
      <c r="AO16" s="26">
        <v>81.92349969850578</v>
      </c>
      <c r="AP16" s="6"/>
      <c r="AQ16" s="24">
        <v>127.74978715102893</v>
      </c>
      <c r="AR16" s="25">
        <v>133.16565421648312</v>
      </c>
      <c r="AS16" s="24">
        <v>142.5811331035276</v>
      </c>
      <c r="AT16" s="25">
        <v>150.0916258261433</v>
      </c>
      <c r="AU16" s="24">
        <v>156.06417487852642</v>
      </c>
      <c r="AV16" s="26">
        <v>165.47887274401617</v>
      </c>
      <c r="AW16" s="4"/>
    </row>
    <row r="17" spans="1:49" ht="12.75">
      <c r="A17" s="4"/>
      <c r="B17" s="23">
        <v>2020</v>
      </c>
      <c r="C17" s="24">
        <v>17.790874126614984</v>
      </c>
      <c r="D17" s="25">
        <v>11.571394788253095</v>
      </c>
      <c r="E17" s="26">
        <v>10.227449229623128</v>
      </c>
      <c r="F17" s="24">
        <v>19.80722047341507</v>
      </c>
      <c r="G17" s="25">
        <v>13.414554728943319</v>
      </c>
      <c r="H17" s="26">
        <v>12.023205477311771</v>
      </c>
      <c r="I17" s="24">
        <v>21.577227031494235</v>
      </c>
      <c r="J17" s="25">
        <v>15.205103624893592</v>
      </c>
      <c r="K17" s="26">
        <v>13.770597622379865</v>
      </c>
      <c r="L17" s="6"/>
      <c r="M17" s="24">
        <v>4.0044394036691235</v>
      </c>
      <c r="N17" s="25">
        <v>2.4271093245930153</v>
      </c>
      <c r="O17" s="26">
        <v>1.9083792494547671</v>
      </c>
      <c r="P17" s="24">
        <v>5.325086207433547</v>
      </c>
      <c r="Q17" s="25">
        <v>3.645621758468436</v>
      </c>
      <c r="R17" s="26">
        <v>3.1268916833301876</v>
      </c>
      <c r="S17" s="24">
        <v>6.439101235847247</v>
      </c>
      <c r="T17" s="25">
        <v>4.779301048213289</v>
      </c>
      <c r="U17" s="26">
        <v>4.2605709730750405</v>
      </c>
      <c r="V17" s="6"/>
      <c r="W17" s="24">
        <v>3.7304826911275164</v>
      </c>
      <c r="X17" s="25">
        <v>1.3881545000137325</v>
      </c>
      <c r="Y17" s="26">
        <v>1.0649972923035949</v>
      </c>
      <c r="Z17" s="24">
        <v>4.070781115966832</v>
      </c>
      <c r="AA17" s="25">
        <v>1.661618310863864</v>
      </c>
      <c r="AB17" s="26">
        <v>1.3384611031537264</v>
      </c>
      <c r="AC17" s="24">
        <v>4.568823525067291</v>
      </c>
      <c r="AD17" s="25">
        <v>1.8097066868391838</v>
      </c>
      <c r="AE17" s="26">
        <v>1.4865494791290461</v>
      </c>
      <c r="AF17" s="6"/>
      <c r="AG17" s="24">
        <v>48.446703600268805</v>
      </c>
      <c r="AH17" s="25">
        <v>56.25270984889096</v>
      </c>
      <c r="AI17" s="26">
        <v>54.02979258768623</v>
      </c>
      <c r="AJ17" s="24">
        <v>63.87058314788304</v>
      </c>
      <c r="AK17" s="25">
        <v>71.93566630345306</v>
      </c>
      <c r="AL17" s="26">
        <v>69.71274904224832</v>
      </c>
      <c r="AM17" s="24">
        <v>77.86717831944937</v>
      </c>
      <c r="AN17" s="25">
        <v>86.1673641010258</v>
      </c>
      <c r="AO17" s="26">
        <v>83.94444683982107</v>
      </c>
      <c r="AP17" s="6"/>
      <c r="AQ17" s="24">
        <v>128.39026658166796</v>
      </c>
      <c r="AR17" s="25">
        <v>133.72452485528467</v>
      </c>
      <c r="AS17" s="24">
        <v>144.52176299104158</v>
      </c>
      <c r="AT17" s="25">
        <v>152.13426670345405</v>
      </c>
      <c r="AU17" s="24">
        <v>159.16049406104025</v>
      </c>
      <c r="AV17" s="26">
        <v>168.84042050000176</v>
      </c>
      <c r="AW17" s="4"/>
    </row>
    <row r="18" spans="1:49" ht="12.75">
      <c r="A18" s="4"/>
      <c r="B18" s="23">
        <v>2021</v>
      </c>
      <c r="C18" s="24">
        <v>18.21696688021688</v>
      </c>
      <c r="D18" s="25">
        <v>12.019645138132592</v>
      </c>
      <c r="E18" s="26">
        <v>10.676159286516544</v>
      </c>
      <c r="F18" s="24">
        <v>20.052552257416256</v>
      </c>
      <c r="G18" s="25">
        <v>13.729931990888721</v>
      </c>
      <c r="H18" s="26">
        <v>12.340000628821263</v>
      </c>
      <c r="I18" s="24">
        <v>21.587045074368948</v>
      </c>
      <c r="J18" s="25">
        <v>15.397003238957936</v>
      </c>
      <c r="K18" s="26">
        <v>13.962099866448733</v>
      </c>
      <c r="L18" s="6"/>
      <c r="M18" s="24">
        <v>4.021694787060412</v>
      </c>
      <c r="N18" s="25">
        <v>2.4363129613495604</v>
      </c>
      <c r="O18" s="26">
        <v>1.9163872003923497</v>
      </c>
      <c r="P18" s="24">
        <v>5.342467197624393</v>
      </c>
      <c r="Q18" s="25">
        <v>3.654825395224981</v>
      </c>
      <c r="R18" s="26">
        <v>3.13489963426777</v>
      </c>
      <c r="S18" s="24">
        <v>6.569170284790512</v>
      </c>
      <c r="T18" s="25">
        <v>4.873337829100402</v>
      </c>
      <c r="U18" s="26">
        <v>4.353412068143192</v>
      </c>
      <c r="V18" s="6"/>
      <c r="W18" s="24">
        <v>3.7304826911275164</v>
      </c>
      <c r="X18" s="25">
        <v>1.3919113896433084</v>
      </c>
      <c r="Y18" s="26">
        <v>1.0660583422534204</v>
      </c>
      <c r="Z18" s="24">
        <v>4.070781115966832</v>
      </c>
      <c r="AA18" s="25">
        <v>1.6653752004934397</v>
      </c>
      <c r="AB18" s="26">
        <v>1.339522153103552</v>
      </c>
      <c r="AC18" s="24">
        <v>4.666389053155109</v>
      </c>
      <c r="AD18" s="25">
        <v>1.86252352924586</v>
      </c>
      <c r="AE18" s="26">
        <v>1.536670481855972</v>
      </c>
      <c r="AF18" s="6"/>
      <c r="AG18" s="24">
        <v>47.8942064224438</v>
      </c>
      <c r="AH18" s="25">
        <v>55.85583631360988</v>
      </c>
      <c r="AI18" s="26">
        <v>53.63291905240514</v>
      </c>
      <c r="AJ18" s="24">
        <v>64.51516318867884</v>
      </c>
      <c r="AK18" s="25">
        <v>72.75597744822754</v>
      </c>
      <c r="AL18" s="26">
        <v>70.53306018702281</v>
      </c>
      <c r="AM18" s="24">
        <v>79.70883557886599</v>
      </c>
      <c r="AN18" s="25">
        <v>88.20485992585587</v>
      </c>
      <c r="AO18" s="26">
        <v>85.98194266465113</v>
      </c>
      <c r="AP18" s="6"/>
      <c r="AQ18" s="24">
        <v>128.8418137484311</v>
      </c>
      <c r="AR18" s="25">
        <v>134.0944632302104</v>
      </c>
      <c r="AS18" s="24">
        <v>146.22530689405463</v>
      </c>
      <c r="AT18" s="25">
        <v>153.93302086361078</v>
      </c>
      <c r="AU18" s="24">
        <v>162.1160347003032</v>
      </c>
      <c r="AV18" s="26">
        <v>172.0679904453896</v>
      </c>
      <c r="AW18" s="4"/>
    </row>
    <row r="19" spans="1:49" ht="12.75">
      <c r="A19" s="4"/>
      <c r="B19" s="23">
        <v>2022</v>
      </c>
      <c r="C19" s="24">
        <v>18.831956971136645</v>
      </c>
      <c r="D19" s="25">
        <v>12.402241374427524</v>
      </c>
      <c r="E19" s="26">
        <v>11.058520734438007</v>
      </c>
      <c r="F19" s="24">
        <v>20.82969148099812</v>
      </c>
      <c r="G19" s="25">
        <v>14.16215600856613</v>
      </c>
      <c r="H19" s="26">
        <v>12.770412860698977</v>
      </c>
      <c r="I19" s="24">
        <v>22.853145837558557</v>
      </c>
      <c r="J19" s="25">
        <v>16.185668058516473</v>
      </c>
      <c r="K19" s="26">
        <v>14.748907056046352</v>
      </c>
      <c r="L19" s="6"/>
      <c r="M19" s="24">
        <v>4.073190858862864</v>
      </c>
      <c r="N19" s="25">
        <v>2.4455165981061047</v>
      </c>
      <c r="O19" s="26">
        <v>1.9244007566017618</v>
      </c>
      <c r="P19" s="24">
        <v>5.3958861901931225</v>
      </c>
      <c r="Q19" s="25">
        <v>3.6640290319815247</v>
      </c>
      <c r="R19" s="26">
        <v>3.142913190477183</v>
      </c>
      <c r="S19" s="24">
        <v>6.7159411193152945</v>
      </c>
      <c r="T19" s="25">
        <v>4.882541465856946</v>
      </c>
      <c r="U19" s="26">
        <v>4.361425624352604</v>
      </c>
      <c r="V19" s="6"/>
      <c r="W19" s="24">
        <v>3.7304826911275164</v>
      </c>
      <c r="X19" s="25">
        <v>1.3954826776112983</v>
      </c>
      <c r="Y19" s="26">
        <v>1.0670669731403697</v>
      </c>
      <c r="Z19" s="24">
        <v>4.070781115966832</v>
      </c>
      <c r="AA19" s="25">
        <v>1.6689464884614298</v>
      </c>
      <c r="AB19" s="26">
        <v>1.340530783990501</v>
      </c>
      <c r="AC19" s="24">
        <v>4.762147812204267</v>
      </c>
      <c r="AD19" s="25">
        <v>1.9142462523469297</v>
      </c>
      <c r="AE19" s="26">
        <v>1.5858305478760009</v>
      </c>
      <c r="AF19" s="6"/>
      <c r="AG19" s="24">
        <v>47.34170924461882</v>
      </c>
      <c r="AH19" s="25">
        <v>55.438623005726335</v>
      </c>
      <c r="AI19" s="26">
        <v>53.2157057445216</v>
      </c>
      <c r="AJ19" s="24">
        <v>65.20578466096008</v>
      </c>
      <c r="AK19" s="25">
        <v>73.6027636157863</v>
      </c>
      <c r="AL19" s="26">
        <v>71.37984635458156</v>
      </c>
      <c r="AM19" s="24">
        <v>81.59653426976803</v>
      </c>
      <c r="AN19" s="25">
        <v>90.26883077347017</v>
      </c>
      <c r="AO19" s="26">
        <v>88.04591351226544</v>
      </c>
      <c r="AP19" s="6"/>
      <c r="AQ19" s="24">
        <v>129.16639253218023</v>
      </c>
      <c r="AR19" s="25">
        <v>134.33743322212206</v>
      </c>
      <c r="AS19" s="24">
        <v>147.85003613467865</v>
      </c>
      <c r="AT19" s="25">
        <v>155.65976109403167</v>
      </c>
      <c r="AU19" s="24">
        <v>164.9927606771771</v>
      </c>
      <c r="AV19" s="26">
        <v>175.22354646104148</v>
      </c>
      <c r="AW19" s="4"/>
    </row>
    <row r="20" spans="1:49" ht="12.75">
      <c r="A20" s="4"/>
      <c r="B20" s="23">
        <v>2023</v>
      </c>
      <c r="C20" s="24">
        <v>18.317713969841606</v>
      </c>
      <c r="D20" s="25">
        <v>12.715165491477714</v>
      </c>
      <c r="E20" s="26">
        <v>11.37803953790405</v>
      </c>
      <c r="F20" s="24">
        <v>20.15110135466927</v>
      </c>
      <c r="G20" s="25">
        <v>14.408332593311544</v>
      </c>
      <c r="H20" s="26">
        <v>13.021737368967319</v>
      </c>
      <c r="I20" s="24">
        <v>21.920560061296182</v>
      </c>
      <c r="J20" s="25">
        <v>15.948882628850306</v>
      </c>
      <c r="K20" s="26">
        <v>14.517376968482957</v>
      </c>
      <c r="L20" s="6"/>
      <c r="M20" s="24">
        <v>3.8526042941904115</v>
      </c>
      <c r="N20" s="25">
        <v>2.4547202348626485</v>
      </c>
      <c r="O20" s="26">
        <v>1.9324199673000244</v>
      </c>
      <c r="P20" s="24">
        <v>5.1622700002415876</v>
      </c>
      <c r="Q20" s="25">
        <v>3.673232668738069</v>
      </c>
      <c r="R20" s="26">
        <v>3.150932401175445</v>
      </c>
      <c r="S20" s="24">
        <v>6.471504149201028</v>
      </c>
      <c r="T20" s="25">
        <v>4.89174510261349</v>
      </c>
      <c r="U20" s="26">
        <v>4.369444835050866</v>
      </c>
      <c r="V20" s="6"/>
      <c r="W20" s="24">
        <v>3.7304826911275164</v>
      </c>
      <c r="X20" s="25">
        <v>1.399092404099492</v>
      </c>
      <c r="Y20" s="26">
        <v>1.0680864601327555</v>
      </c>
      <c r="Z20" s="24">
        <v>4.070781115966832</v>
      </c>
      <c r="AA20" s="25">
        <v>1.6725562149496236</v>
      </c>
      <c r="AB20" s="26">
        <v>1.341550270982887</v>
      </c>
      <c r="AC20" s="24">
        <v>4.85790657125342</v>
      </c>
      <c r="AD20" s="25">
        <v>1.9660074139682027</v>
      </c>
      <c r="AE20" s="26">
        <v>1.6350014700014661</v>
      </c>
      <c r="AF20" s="6"/>
      <c r="AG20" s="24">
        <v>46.83525349827926</v>
      </c>
      <c r="AH20" s="25">
        <v>55.05736981194758</v>
      </c>
      <c r="AI20" s="26">
        <v>52.834452550742846</v>
      </c>
      <c r="AJ20" s="24">
        <v>65.89640613324131</v>
      </c>
      <c r="AK20" s="25">
        <v>74.43869510206312</v>
      </c>
      <c r="AL20" s="26">
        <v>72.2157778408584</v>
      </c>
      <c r="AM20" s="24">
        <v>83.5302743921555</v>
      </c>
      <c r="AN20" s="25">
        <v>92.36876173518932</v>
      </c>
      <c r="AO20" s="26">
        <v>90.1458444739846</v>
      </c>
      <c r="AP20" s="6"/>
      <c r="AQ20" s="24">
        <v>129.47136610151426</v>
      </c>
      <c r="AR20" s="25">
        <v>134.56759873227173</v>
      </c>
      <c r="AS20" s="24">
        <v>149.4070064402625</v>
      </c>
      <c r="AT20" s="25">
        <v>157.3187423894124</v>
      </c>
      <c r="AU20" s="24">
        <v>167.84988143963596</v>
      </c>
      <c r="AV20" s="26">
        <v>178.3662979949314</v>
      </c>
      <c r="AW20" s="4"/>
    </row>
    <row r="21" spans="1:49" ht="12.75">
      <c r="A21" s="4"/>
      <c r="B21" s="23">
        <v>2024</v>
      </c>
      <c r="C21" s="24">
        <v>19.119420318488313</v>
      </c>
      <c r="D21" s="25">
        <v>13.491932315389267</v>
      </c>
      <c r="E21" s="26">
        <v>12.158980435500968</v>
      </c>
      <c r="F21" s="24">
        <v>20.538768489447936</v>
      </c>
      <c r="G21" s="25">
        <v>14.94514913114582</v>
      </c>
      <c r="H21" s="26">
        <v>13.564586308908423</v>
      </c>
      <c r="I21" s="24">
        <v>22.480156138828516</v>
      </c>
      <c r="J21" s="25">
        <v>16.661019446339175</v>
      </c>
      <c r="K21" s="26">
        <v>15.235115724496877</v>
      </c>
      <c r="L21" s="6"/>
      <c r="M21" s="24">
        <v>3.8633838023179052</v>
      </c>
      <c r="N21" s="25">
        <v>2.4639238716191936</v>
      </c>
      <c r="O21" s="26">
        <v>1.9404448821363078</v>
      </c>
      <c r="P21" s="24">
        <v>5.172811641374736</v>
      </c>
      <c r="Q21" s="25">
        <v>3.682436305494614</v>
      </c>
      <c r="R21" s="26">
        <v>3.1589573160117275</v>
      </c>
      <c r="S21" s="24">
        <v>6.48185120798507</v>
      </c>
      <c r="T21" s="25">
        <v>4.900948739370035</v>
      </c>
      <c r="U21" s="26">
        <v>4.377469749887149</v>
      </c>
      <c r="V21" s="6"/>
      <c r="W21" s="24">
        <v>3.7304826911275164</v>
      </c>
      <c r="X21" s="25">
        <v>1.4027409828297308</v>
      </c>
      <c r="Y21" s="26">
        <v>1.0691169200771145</v>
      </c>
      <c r="Z21" s="24">
        <v>4.070781115966832</v>
      </c>
      <c r="AA21" s="25">
        <v>1.6762047936798623</v>
      </c>
      <c r="AB21" s="26">
        <v>1.3425807309272457</v>
      </c>
      <c r="AC21" s="24">
        <v>4.953665330302577</v>
      </c>
      <c r="AD21" s="25">
        <v>2.0178074278315217</v>
      </c>
      <c r="AE21" s="26">
        <v>1.684183365078905</v>
      </c>
      <c r="AF21" s="6"/>
      <c r="AG21" s="24">
        <v>46.28275632045426</v>
      </c>
      <c r="AH21" s="25">
        <v>54.63074096672554</v>
      </c>
      <c r="AI21" s="26">
        <v>52.407823705520805</v>
      </c>
      <c r="AJ21" s="24">
        <v>66.58702760552255</v>
      </c>
      <c r="AK21" s="25">
        <v>75.2760657322834</v>
      </c>
      <c r="AL21" s="26">
        <v>73.05314847107867</v>
      </c>
      <c r="AM21" s="24">
        <v>85.51005594602836</v>
      </c>
      <c r="AN21" s="25">
        <v>94.51694663623866</v>
      </c>
      <c r="AO21" s="26">
        <v>92.29402937503393</v>
      </c>
      <c r="AP21" s="6"/>
      <c r="AQ21" s="24">
        <v>129.73716961896918</v>
      </c>
      <c r="AR21" s="25">
        <v>134.7517934578892</v>
      </c>
      <c r="AS21" s="24">
        <v>150.9729604145923</v>
      </c>
      <c r="AT21" s="25">
        <v>158.986707353539</v>
      </c>
      <c r="AU21" s="24">
        <v>170.76413959146555</v>
      </c>
      <c r="AV21" s="26">
        <v>181.5729876508453</v>
      </c>
      <c r="AW21" s="4"/>
    </row>
    <row r="22" spans="1:49" ht="12.75">
      <c r="A22" s="4"/>
      <c r="B22" s="23">
        <v>2025</v>
      </c>
      <c r="C22" s="24">
        <v>19.110678939519392</v>
      </c>
      <c r="D22" s="25">
        <v>13.47739818733371</v>
      </c>
      <c r="E22" s="26">
        <v>12.140294158125737</v>
      </c>
      <c r="F22" s="24">
        <v>20.85954421277487</v>
      </c>
      <c r="G22" s="25">
        <v>15.009847744016142</v>
      </c>
      <c r="H22" s="26">
        <v>13.627421285921635</v>
      </c>
      <c r="I22" s="24">
        <v>22.358774295372257</v>
      </c>
      <c r="J22" s="25">
        <v>16.461575154669994</v>
      </c>
      <c r="K22" s="26">
        <v>15.033811711595646</v>
      </c>
      <c r="L22" s="6"/>
      <c r="M22" s="24">
        <v>3.873059289485504</v>
      </c>
      <c r="N22" s="25">
        <v>2.473127508375738</v>
      </c>
      <c r="O22" s="26">
        <v>1.9484755511957261</v>
      </c>
      <c r="P22" s="24">
        <v>5.182182411544952</v>
      </c>
      <c r="Q22" s="25">
        <v>3.6916399422511583</v>
      </c>
      <c r="R22" s="26">
        <v>3.1669879850711458</v>
      </c>
      <c r="S22" s="24">
        <v>6.490971945121679</v>
      </c>
      <c r="T22" s="25">
        <v>4.91015237612658</v>
      </c>
      <c r="U22" s="26">
        <v>4.385500418946567</v>
      </c>
      <c r="V22" s="6"/>
      <c r="W22" s="24">
        <v>3.7304826911275164</v>
      </c>
      <c r="X22" s="25">
        <v>1.4064288319768314</v>
      </c>
      <c r="Y22" s="26">
        <v>1.0701584710776257</v>
      </c>
      <c r="Z22" s="24">
        <v>4.070781115966832</v>
      </c>
      <c r="AA22" s="25">
        <v>1.6798926428269627</v>
      </c>
      <c r="AB22" s="26">
        <v>1.3436222819277572</v>
      </c>
      <c r="AC22" s="24">
        <v>5.049424089351734</v>
      </c>
      <c r="AD22" s="25">
        <v>2.069646712111702</v>
      </c>
      <c r="AE22" s="26">
        <v>1.7333763512124958</v>
      </c>
      <c r="AF22" s="6"/>
      <c r="AG22" s="24">
        <v>45.77630057411469</v>
      </c>
      <c r="AH22" s="25">
        <v>54.25238155064136</v>
      </c>
      <c r="AI22" s="26">
        <v>52.02946428943663</v>
      </c>
      <c r="AJ22" s="24">
        <v>67.27764907780379</v>
      </c>
      <c r="AK22" s="25">
        <v>76.11489099625477</v>
      </c>
      <c r="AL22" s="26">
        <v>73.89197373505004</v>
      </c>
      <c r="AM22" s="24">
        <v>87.53587893138666</v>
      </c>
      <c r="AN22" s="25">
        <v>96.71340096642588</v>
      </c>
      <c r="AO22" s="26">
        <v>94.49048370522114</v>
      </c>
      <c r="AP22" s="6"/>
      <c r="AQ22" s="24">
        <v>130.0602072189028</v>
      </c>
      <c r="AR22" s="25">
        <v>135.0000229986385</v>
      </c>
      <c r="AS22" s="24">
        <v>152.54799475077587</v>
      </c>
      <c r="AT22" s="25">
        <v>160.66375267951938</v>
      </c>
      <c r="AU22" s="24">
        <v>173.73563182577396</v>
      </c>
      <c r="AV22" s="26">
        <v>184.8437121218911</v>
      </c>
      <c r="AW22" s="4"/>
    </row>
    <row r="23" spans="1:49" ht="12.75">
      <c r="A23" s="4"/>
      <c r="B23" s="23">
        <v>2026</v>
      </c>
      <c r="C23" s="24">
        <v>19.717011045013855</v>
      </c>
      <c r="D23" s="25">
        <v>14.027632030700591</v>
      </c>
      <c r="E23" s="26">
        <v>12.69101563802194</v>
      </c>
      <c r="F23" s="24">
        <v>21.007836596555745</v>
      </c>
      <c r="G23" s="25">
        <v>15.17318345068989</v>
      </c>
      <c r="H23" s="26">
        <v>13.792304139432803</v>
      </c>
      <c r="I23" s="24">
        <v>22.623720883585843</v>
      </c>
      <c r="J23" s="25">
        <v>16.612869265966076</v>
      </c>
      <c r="K23" s="26">
        <v>15.18692537159608</v>
      </c>
      <c r="L23" s="6"/>
      <c r="M23" s="24">
        <v>3.884701728434417</v>
      </c>
      <c r="N23" s="25">
        <v>2.482331145132282</v>
      </c>
      <c r="O23" s="26">
        <v>1.9565120250031647</v>
      </c>
      <c r="P23" s="24">
        <v>5.193632672886982</v>
      </c>
      <c r="Q23" s="25">
        <v>3.7008435790077034</v>
      </c>
      <c r="R23" s="26">
        <v>3.175024458878585</v>
      </c>
      <c r="S23" s="24">
        <v>6.502264351433056</v>
      </c>
      <c r="T23" s="25">
        <v>4.919356012883124</v>
      </c>
      <c r="U23" s="26">
        <v>4.393536892754007</v>
      </c>
      <c r="V23" s="6"/>
      <c r="W23" s="24">
        <v>3.7304826911275164</v>
      </c>
      <c r="X23" s="25">
        <v>1.410156374216513</v>
      </c>
      <c r="Y23" s="26">
        <v>1.0712112325096494</v>
      </c>
      <c r="Z23" s="24">
        <v>4.070781115966832</v>
      </c>
      <c r="AA23" s="25">
        <v>1.6836201850666446</v>
      </c>
      <c r="AB23" s="26">
        <v>1.344675043359781</v>
      </c>
      <c r="AC23" s="24">
        <v>5.049424089351734</v>
      </c>
      <c r="AD23" s="25">
        <v>2.0733742543513833</v>
      </c>
      <c r="AE23" s="26">
        <v>1.73442911264452</v>
      </c>
      <c r="AF23" s="6"/>
      <c r="AG23" s="24">
        <v>45.269844827775124</v>
      </c>
      <c r="AH23" s="25">
        <v>53.875492424835905</v>
      </c>
      <c r="AI23" s="26">
        <v>51.65257516363117</v>
      </c>
      <c r="AJ23" s="24">
        <v>67.96827055008502</v>
      </c>
      <c r="AK23" s="25">
        <v>76.95518655050489</v>
      </c>
      <c r="AL23" s="26">
        <v>74.73226928930016</v>
      </c>
      <c r="AM23" s="24">
        <v>89.60774334823037</v>
      </c>
      <c r="AN23" s="25">
        <v>98.95814038227856</v>
      </c>
      <c r="AO23" s="26">
        <v>96.73522312107382</v>
      </c>
      <c r="AP23" s="6"/>
      <c r="AQ23" s="24">
        <v>130.39242291452615</v>
      </c>
      <c r="AR23" s="25">
        <v>135.25743063507753</v>
      </c>
      <c r="AS23" s="24">
        <v>154.13220718264915</v>
      </c>
      <c r="AT23" s="25">
        <v>162.34997610118944</v>
      </c>
      <c r="AU23" s="24">
        <v>176.7644558763971</v>
      </c>
      <c r="AV23" s="26">
        <v>188.1785691419047</v>
      </c>
      <c r="AW23" s="4"/>
    </row>
    <row r="24" spans="1:49" ht="12.75">
      <c r="A24" s="4"/>
      <c r="B24" s="23">
        <v>2027</v>
      </c>
      <c r="C24" s="24">
        <v>19.3650552109714</v>
      </c>
      <c r="D24" s="25">
        <v>13.733146434536046</v>
      </c>
      <c r="E24" s="26">
        <v>12.402001832009386</v>
      </c>
      <c r="F24" s="24">
        <v>20.844321615975936</v>
      </c>
      <c r="G24" s="25">
        <v>15.094631345230342</v>
      </c>
      <c r="H24" s="26">
        <v>13.71917026130288</v>
      </c>
      <c r="I24" s="24">
        <v>22.26428367040588</v>
      </c>
      <c r="J24" s="25">
        <v>16.486195572855728</v>
      </c>
      <c r="K24" s="26">
        <v>15.064900897641719</v>
      </c>
      <c r="L24" s="6"/>
      <c r="M24" s="24">
        <v>3.8966740429389275</v>
      </c>
      <c r="N24" s="25">
        <v>2.491534781888827</v>
      </c>
      <c r="O24" s="26">
        <v>1.9645543545271449</v>
      </c>
      <c r="P24" s="24">
        <v>5.205427536928556</v>
      </c>
      <c r="Q24" s="25">
        <v>3.7100472157642477</v>
      </c>
      <c r="R24" s="26">
        <v>3.1830667884025643</v>
      </c>
      <c r="S24" s="24">
        <v>6.513912917133951</v>
      </c>
      <c r="T24" s="25">
        <v>4.928559649639669</v>
      </c>
      <c r="U24" s="26">
        <v>4.401579222277986</v>
      </c>
      <c r="V24" s="6"/>
      <c r="W24" s="24">
        <v>3.7304826911275164</v>
      </c>
      <c r="X24" s="25">
        <v>1.4139240367738433</v>
      </c>
      <c r="Y24" s="26">
        <v>1.0722753250334072</v>
      </c>
      <c r="Z24" s="24">
        <v>4.070781115966832</v>
      </c>
      <c r="AA24" s="25">
        <v>1.6873878476239748</v>
      </c>
      <c r="AB24" s="26">
        <v>1.3457391358835387</v>
      </c>
      <c r="AC24" s="24">
        <v>5.049424089351734</v>
      </c>
      <c r="AD24" s="25">
        <v>2.0771419169087135</v>
      </c>
      <c r="AE24" s="26">
        <v>1.7354932051682777</v>
      </c>
      <c r="AF24" s="6"/>
      <c r="AG24" s="24">
        <v>44.76338908143554</v>
      </c>
      <c r="AH24" s="25">
        <v>53.500089414351315</v>
      </c>
      <c r="AI24" s="26">
        <v>51.27717215314659</v>
      </c>
      <c r="AJ24" s="24">
        <v>68.70493345385168</v>
      </c>
      <c r="AK24" s="25">
        <v>77.84378301546262</v>
      </c>
      <c r="AL24" s="26">
        <v>75.62086575425789</v>
      </c>
      <c r="AM24" s="24">
        <v>91.77169062804491</v>
      </c>
      <c r="AN24" s="25">
        <v>101.29799550422564</v>
      </c>
      <c r="AO24" s="26">
        <v>99.0750782430209</v>
      </c>
      <c r="AP24" s="6"/>
      <c r="AQ24" s="24">
        <v>130.73391549160502</v>
      </c>
      <c r="AR24" s="25">
        <v>135.524115152972</v>
      </c>
      <c r="AS24" s="24">
        <v>155.77385021660285</v>
      </c>
      <c r="AT24" s="25">
        <v>164.1004308575931</v>
      </c>
      <c r="AU24" s="24">
        <v>179.89886424972573</v>
      </c>
      <c r="AV24" s="26">
        <v>191.63261194993</v>
      </c>
      <c r="AW24" s="4"/>
    </row>
    <row r="25" spans="1:49" ht="12.75">
      <c r="A25" s="4"/>
      <c r="B25" s="23">
        <v>2028</v>
      </c>
      <c r="C25" s="24">
        <v>19.36770701344921</v>
      </c>
      <c r="D25" s="25">
        <v>13.667395949713901</v>
      </c>
      <c r="E25" s="26">
        <v>12.341784222776118</v>
      </c>
      <c r="F25" s="24">
        <v>20.98057133945498</v>
      </c>
      <c r="G25" s="25">
        <v>14.973024749317501</v>
      </c>
      <c r="H25" s="26">
        <v>13.603588099104527</v>
      </c>
      <c r="I25" s="24">
        <v>22.890257467798016</v>
      </c>
      <c r="J25" s="25">
        <v>16.780702036227606</v>
      </c>
      <c r="K25" s="26">
        <v>15.366799122485029</v>
      </c>
      <c r="L25" s="6"/>
      <c r="M25" s="24">
        <v>3.9067281486194334</v>
      </c>
      <c r="N25" s="25">
        <v>2.5007384186453714</v>
      </c>
      <c r="O25" s="26">
        <v>1.9726025911837124</v>
      </c>
      <c r="P25" s="24">
        <v>5.215200294460405</v>
      </c>
      <c r="Q25" s="25">
        <v>3.719250852520792</v>
      </c>
      <c r="R25" s="26">
        <v>3.191115025059133</v>
      </c>
      <c r="S25" s="24">
        <v>6.523454213858099</v>
      </c>
      <c r="T25" s="25">
        <v>4.937763286396214</v>
      </c>
      <c r="U25" s="26">
        <v>4.409627458934554</v>
      </c>
      <c r="V25" s="6"/>
      <c r="W25" s="24">
        <v>3.7304826911275164</v>
      </c>
      <c r="X25" s="25">
        <v>1.4177322514722013</v>
      </c>
      <c r="Y25" s="26">
        <v>1.073350870607812</v>
      </c>
      <c r="Z25" s="24">
        <v>4.070781115966832</v>
      </c>
      <c r="AA25" s="25">
        <v>1.6911960623223328</v>
      </c>
      <c r="AB25" s="26">
        <v>1.3468146814579436</v>
      </c>
      <c r="AC25" s="24">
        <v>5.049424089351734</v>
      </c>
      <c r="AD25" s="25">
        <v>2.0809501316070715</v>
      </c>
      <c r="AE25" s="26">
        <v>1.7365687507426826</v>
      </c>
      <c r="AF25" s="6"/>
      <c r="AG25" s="24">
        <v>44.25693333509598</v>
      </c>
      <c r="AH25" s="25">
        <v>53.12618851455802</v>
      </c>
      <c r="AI25" s="26">
        <v>50.90327125335328</v>
      </c>
      <c r="AJ25" s="24">
        <v>69.44159635761834</v>
      </c>
      <c r="AK25" s="25">
        <v>78.73388159111164</v>
      </c>
      <c r="AL25" s="26">
        <v>76.5109643299069</v>
      </c>
      <c r="AM25" s="24">
        <v>93.98167933934484</v>
      </c>
      <c r="AN25" s="25">
        <v>103.6861675322507</v>
      </c>
      <c r="AO25" s="26">
        <v>101.46325027104596</v>
      </c>
      <c r="AP25" s="6"/>
      <c r="AQ25" s="24">
        <v>131.08478479915684</v>
      </c>
      <c r="AR25" s="25">
        <v>135.80017640133954</v>
      </c>
      <c r="AS25" s="24">
        <v>157.42486998102962</v>
      </c>
      <c r="AT25" s="25">
        <v>165.86026234446985</v>
      </c>
      <c r="AU25" s="24">
        <v>183.09080307415238</v>
      </c>
      <c r="AV25" s="26">
        <v>195.15098594170644</v>
      </c>
      <c r="AW25" s="4"/>
    </row>
    <row r="26" spans="1:49" ht="12.75">
      <c r="A26" s="4"/>
      <c r="B26" s="23">
        <v>2029</v>
      </c>
      <c r="C26" s="24">
        <v>19.507126980846365</v>
      </c>
      <c r="D26" s="25">
        <v>13.593666057851102</v>
      </c>
      <c r="E26" s="26">
        <v>12.27139468400931</v>
      </c>
      <c r="F26" s="24">
        <v>20.982724057464626</v>
      </c>
      <c r="G26" s="25">
        <v>14.88301319329935</v>
      </c>
      <c r="H26" s="26">
        <v>13.517726201376963</v>
      </c>
      <c r="I26" s="24">
        <v>22.36646332705904</v>
      </c>
      <c r="J26" s="25">
        <v>16.174369477842767</v>
      </c>
      <c r="K26" s="26">
        <v>14.765164723522235</v>
      </c>
      <c r="L26" s="6"/>
      <c r="M26" s="24">
        <v>3.9171717715050027</v>
      </c>
      <c r="N26" s="25">
        <v>2.5099420554019165</v>
      </c>
      <c r="O26" s="26">
        <v>1.9806567868403733</v>
      </c>
      <c r="P26" s="24">
        <v>5.225391081655298</v>
      </c>
      <c r="Q26" s="25">
        <v>3.728454489277337</v>
      </c>
      <c r="R26" s="26">
        <v>3.1991692207157936</v>
      </c>
      <c r="S26" s="24">
        <v>6.533437232067391</v>
      </c>
      <c r="T26" s="25">
        <v>4.946966923152758</v>
      </c>
      <c r="U26" s="26">
        <v>4.417681654591216</v>
      </c>
      <c r="V26" s="6"/>
      <c r="W26" s="24">
        <v>3.7304826911275164</v>
      </c>
      <c r="X26" s="25">
        <v>1.4215814547827725</v>
      </c>
      <c r="Y26" s="26">
        <v>1.0744379925044467</v>
      </c>
      <c r="Z26" s="24">
        <v>4.070781115966832</v>
      </c>
      <c r="AA26" s="25">
        <v>1.695045265632904</v>
      </c>
      <c r="AB26" s="26">
        <v>1.347901803354578</v>
      </c>
      <c r="AC26" s="24">
        <v>5.049424089351734</v>
      </c>
      <c r="AD26" s="25">
        <v>2.0847993349176432</v>
      </c>
      <c r="AE26" s="26">
        <v>1.7376558726393168</v>
      </c>
      <c r="AF26" s="6"/>
      <c r="AG26" s="24">
        <v>43.79651902024182</v>
      </c>
      <c r="AH26" s="25">
        <v>52.80062068837459</v>
      </c>
      <c r="AI26" s="26">
        <v>50.577703427169865</v>
      </c>
      <c r="AJ26" s="24">
        <v>70.17825926138498</v>
      </c>
      <c r="AK26" s="25">
        <v>79.62549844498379</v>
      </c>
      <c r="AL26" s="26">
        <v>77.40258118377905</v>
      </c>
      <c r="AM26" s="24">
        <v>96.2377094821302</v>
      </c>
      <c r="AN26" s="25">
        <v>106.12267263388571</v>
      </c>
      <c r="AO26" s="26">
        <v>103.89975537268097</v>
      </c>
      <c r="AP26" s="6"/>
      <c r="AQ26" s="24">
        <v>131.49328548152036</v>
      </c>
      <c r="AR26" s="25">
        <v>136.1406697571718</v>
      </c>
      <c r="AS26" s="24">
        <v>159.085367399643</v>
      </c>
      <c r="AT26" s="25">
        <v>167.62957148553312</v>
      </c>
      <c r="AU26" s="24">
        <v>186.34037327339055</v>
      </c>
      <c r="AV26" s="26">
        <v>198.73379204094766</v>
      </c>
      <c r="AW26" s="4"/>
    </row>
    <row r="27" spans="1:49" ht="12.75">
      <c r="A27" s="27"/>
      <c r="B27" s="28">
        <v>2030</v>
      </c>
      <c r="C27" s="29">
        <v>19.49290894460688</v>
      </c>
      <c r="D27" s="30">
        <v>13.673996623347326</v>
      </c>
      <c r="E27" s="31">
        <v>12.355928325080106</v>
      </c>
      <c r="F27" s="29">
        <v>20.891544067896923</v>
      </c>
      <c r="G27" s="30">
        <v>14.833993331448342</v>
      </c>
      <c r="H27" s="31">
        <v>13.472085118883394</v>
      </c>
      <c r="I27" s="29">
        <v>22.88101564347839</v>
      </c>
      <c r="J27" s="30">
        <v>16.519455350502195</v>
      </c>
      <c r="K27" s="31">
        <v>15.113463068933347</v>
      </c>
      <c r="L27" s="32"/>
      <c r="M27" s="29">
        <v>3.9235280614140797</v>
      </c>
      <c r="N27" s="30">
        <v>2.5191456921584607</v>
      </c>
      <c r="O27" s="31">
        <v>1.9887169938200555</v>
      </c>
      <c r="P27" s="29">
        <v>5.2312688122162685</v>
      </c>
      <c r="Q27" s="30">
        <v>3.737658126033881</v>
      </c>
      <c r="R27" s="31">
        <v>3.2072294276954754</v>
      </c>
      <c r="S27" s="29">
        <v>6.5389219546478135</v>
      </c>
      <c r="T27" s="30">
        <v>4.956170559909303</v>
      </c>
      <c r="U27" s="31">
        <v>4.425741861570897</v>
      </c>
      <c r="V27" s="32"/>
      <c r="W27" s="29">
        <v>3.7304826911275164</v>
      </c>
      <c r="X27" s="30">
        <v>1.425472087874573</v>
      </c>
      <c r="Y27" s="31">
        <v>1.0755368153216904</v>
      </c>
      <c r="Z27" s="29">
        <v>4.070781115966832</v>
      </c>
      <c r="AA27" s="30">
        <v>1.6989358987247047</v>
      </c>
      <c r="AB27" s="31">
        <v>1.349000626171822</v>
      </c>
      <c r="AC27" s="29">
        <v>5.049424089351734</v>
      </c>
      <c r="AD27" s="30">
        <v>2.0886899680094433</v>
      </c>
      <c r="AE27" s="31">
        <v>1.7387546954565607</v>
      </c>
      <c r="AF27" s="32"/>
      <c r="AG27" s="29">
        <v>43.290063273902256</v>
      </c>
      <c r="AH27" s="30">
        <v>52.42977268657405</v>
      </c>
      <c r="AI27" s="31">
        <v>50.20685542536931</v>
      </c>
      <c r="AJ27" s="29">
        <v>70.91492216515162</v>
      </c>
      <c r="AK27" s="30">
        <v>80.51864991862556</v>
      </c>
      <c r="AL27" s="31">
        <v>78.29573265742081</v>
      </c>
      <c r="AM27" s="29">
        <v>98.539781056401</v>
      </c>
      <c r="AN27" s="30">
        <v>108.60752715067704</v>
      </c>
      <c r="AO27" s="31">
        <v>106.3846098894723</v>
      </c>
      <c r="AP27" s="32"/>
      <c r="AQ27" s="29">
        <v>131.86321210742204</v>
      </c>
      <c r="AR27" s="30">
        <v>136.43578832388914</v>
      </c>
      <c r="AS27" s="29">
        <v>160.75544448241953</v>
      </c>
      <c r="AT27" s="30">
        <v>169.40846029075962</v>
      </c>
      <c r="AU27" s="29">
        <v>189.647676857417</v>
      </c>
      <c r="AV27" s="31">
        <v>202.38113225763013</v>
      </c>
      <c r="AW27" s="27"/>
    </row>
    <row r="28" spans="1:49" ht="12.75">
      <c r="A28" s="4"/>
      <c r="B28" s="23">
        <v>2031</v>
      </c>
      <c r="C28" s="24">
        <f aca="true" t="shared" si="0" ref="C28:C44">C27</f>
        <v>19.49290894460688</v>
      </c>
      <c r="D28" s="25">
        <f aca="true" t="shared" si="1" ref="D28:K43">D27</f>
        <v>13.673996623347326</v>
      </c>
      <c r="E28" s="26">
        <f t="shared" si="1"/>
        <v>12.355928325080106</v>
      </c>
      <c r="F28" s="24">
        <f t="shared" si="1"/>
        <v>20.891544067896923</v>
      </c>
      <c r="G28" s="25">
        <f t="shared" si="1"/>
        <v>14.833993331448342</v>
      </c>
      <c r="H28" s="26">
        <f t="shared" si="1"/>
        <v>13.472085118883394</v>
      </c>
      <c r="I28" s="24">
        <f t="shared" si="1"/>
        <v>22.88101564347839</v>
      </c>
      <c r="J28" s="25">
        <f t="shared" si="1"/>
        <v>16.519455350502195</v>
      </c>
      <c r="K28" s="26">
        <f t="shared" si="1"/>
        <v>15.113463068933347</v>
      </c>
      <c r="L28" s="6"/>
      <c r="M28" s="24">
        <f aca="true" t="shared" si="2" ref="M28:M44">M27</f>
        <v>3.9235280614140797</v>
      </c>
      <c r="N28" s="25">
        <f aca="true" t="shared" si="3" ref="N28:U43">N27</f>
        <v>2.5191456921584607</v>
      </c>
      <c r="O28" s="26">
        <f t="shared" si="3"/>
        <v>1.9887169938200555</v>
      </c>
      <c r="P28" s="24">
        <f t="shared" si="3"/>
        <v>5.2312688122162685</v>
      </c>
      <c r="Q28" s="25">
        <f t="shared" si="3"/>
        <v>3.737658126033881</v>
      </c>
      <c r="R28" s="26">
        <f t="shared" si="3"/>
        <v>3.2072294276954754</v>
      </c>
      <c r="S28" s="24">
        <f t="shared" si="3"/>
        <v>6.5389219546478135</v>
      </c>
      <c r="T28" s="25">
        <f t="shared" si="3"/>
        <v>4.956170559909303</v>
      </c>
      <c r="U28" s="26">
        <f t="shared" si="3"/>
        <v>4.425741861570897</v>
      </c>
      <c r="V28" s="6"/>
      <c r="W28" s="24">
        <v>3.7304826911275164</v>
      </c>
      <c r="X28" s="25">
        <v>1.425472087874573</v>
      </c>
      <c r="Y28" s="26">
        <v>1.0755368153216904</v>
      </c>
      <c r="Z28" s="24">
        <v>4.070781115966832</v>
      </c>
      <c r="AA28" s="25">
        <v>1.6989358987247047</v>
      </c>
      <c r="AB28" s="26">
        <v>1.349000626171822</v>
      </c>
      <c r="AC28" s="24">
        <v>5.049424089351734</v>
      </c>
      <c r="AD28" s="25">
        <v>2.0886899680094433</v>
      </c>
      <c r="AE28" s="26">
        <v>1.7387546954565607</v>
      </c>
      <c r="AF28" s="6"/>
      <c r="AG28" s="24">
        <v>43.290063273902256</v>
      </c>
      <c r="AH28" s="25">
        <v>52.575438571231274</v>
      </c>
      <c r="AI28" s="26">
        <v>50.35252131002654</v>
      </c>
      <c r="AJ28" s="24">
        <v>70.91492216515162</v>
      </c>
      <c r="AK28" s="25">
        <v>80.66431580328278</v>
      </c>
      <c r="AL28" s="26">
        <v>78.44139854207805</v>
      </c>
      <c r="AM28" s="24">
        <v>98.539781056401</v>
      </c>
      <c r="AN28" s="25">
        <v>108.75319303533428</v>
      </c>
      <c r="AO28" s="26">
        <v>106.53027577412954</v>
      </c>
      <c r="AP28" s="6"/>
      <c r="AQ28" s="24">
        <v>132.77251243229304</v>
      </c>
      <c r="AR28" s="25">
        <v>137.34508864876017</v>
      </c>
      <c r="AS28" s="24">
        <v>161.66474480729053</v>
      </c>
      <c r="AT28" s="25">
        <v>170.31776061563068</v>
      </c>
      <c r="AU28" s="24">
        <v>190.55697718228805</v>
      </c>
      <c r="AV28" s="26">
        <v>203.29043258250118</v>
      </c>
      <c r="AW28" s="4"/>
    </row>
    <row r="29" spans="1:49" ht="12.75">
      <c r="A29" s="4"/>
      <c r="B29" s="23">
        <v>2032</v>
      </c>
      <c r="C29" s="24">
        <f t="shared" si="0"/>
        <v>19.49290894460688</v>
      </c>
      <c r="D29" s="25">
        <f t="shared" si="1"/>
        <v>13.673996623347326</v>
      </c>
      <c r="E29" s="26">
        <f t="shared" si="1"/>
        <v>12.355928325080106</v>
      </c>
      <c r="F29" s="24">
        <f t="shared" si="1"/>
        <v>20.891544067896923</v>
      </c>
      <c r="G29" s="25">
        <f t="shared" si="1"/>
        <v>14.833993331448342</v>
      </c>
      <c r="H29" s="26">
        <f t="shared" si="1"/>
        <v>13.472085118883394</v>
      </c>
      <c r="I29" s="24">
        <f t="shared" si="1"/>
        <v>22.88101564347839</v>
      </c>
      <c r="J29" s="25">
        <f t="shared" si="1"/>
        <v>16.519455350502195</v>
      </c>
      <c r="K29" s="26">
        <f t="shared" si="1"/>
        <v>15.113463068933347</v>
      </c>
      <c r="L29" s="6"/>
      <c r="M29" s="24">
        <f t="shared" si="2"/>
        <v>3.9235280614140797</v>
      </c>
      <c r="N29" s="25">
        <f t="shared" si="3"/>
        <v>2.5191456921584607</v>
      </c>
      <c r="O29" s="26">
        <f t="shared" si="3"/>
        <v>1.9887169938200555</v>
      </c>
      <c r="P29" s="24">
        <f t="shared" si="3"/>
        <v>5.2312688122162685</v>
      </c>
      <c r="Q29" s="25">
        <f t="shared" si="3"/>
        <v>3.737658126033881</v>
      </c>
      <c r="R29" s="26">
        <f t="shared" si="3"/>
        <v>3.2072294276954754</v>
      </c>
      <c r="S29" s="24">
        <f t="shared" si="3"/>
        <v>6.5389219546478135</v>
      </c>
      <c r="T29" s="25">
        <f t="shared" si="3"/>
        <v>4.956170559909303</v>
      </c>
      <c r="U29" s="26">
        <f t="shared" si="3"/>
        <v>4.425741861570897</v>
      </c>
      <c r="V29" s="6"/>
      <c r="W29" s="24">
        <v>3.7304826911275164</v>
      </c>
      <c r="X29" s="25">
        <v>1.4294045966650133</v>
      </c>
      <c r="Y29" s="26">
        <v>1.0766474649990023</v>
      </c>
      <c r="Z29" s="24">
        <v>4.070781115966832</v>
      </c>
      <c r="AA29" s="25">
        <v>1.702868407515145</v>
      </c>
      <c r="AB29" s="26">
        <v>1.350111275849134</v>
      </c>
      <c r="AC29" s="24">
        <v>5.049424089351734</v>
      </c>
      <c r="AD29" s="25">
        <v>2.092622476799884</v>
      </c>
      <c r="AE29" s="26">
        <v>1.7398653451338728</v>
      </c>
      <c r="AF29" s="6"/>
      <c r="AG29" s="24">
        <v>43.290063273902256</v>
      </c>
      <c r="AH29" s="25">
        <v>52.72267228830654</v>
      </c>
      <c r="AI29" s="26">
        <v>50.499755027101806</v>
      </c>
      <c r="AJ29" s="24">
        <v>70.91492216515162</v>
      </c>
      <c r="AK29" s="25">
        <v>80.81154952035804</v>
      </c>
      <c r="AL29" s="26">
        <v>78.58863225915331</v>
      </c>
      <c r="AM29" s="24">
        <v>98.539781056401</v>
      </c>
      <c r="AN29" s="25">
        <v>108.90042675240953</v>
      </c>
      <c r="AO29" s="26">
        <v>106.67750949120479</v>
      </c>
      <c r="AP29" s="6"/>
      <c r="AQ29" s="24">
        <v>133.69159974696214</v>
      </c>
      <c r="AR29" s="25">
        <v>138.26417596342927</v>
      </c>
      <c r="AS29" s="24">
        <v>162.58383212195966</v>
      </c>
      <c r="AT29" s="25">
        <v>171.23684793029975</v>
      </c>
      <c r="AU29" s="24">
        <v>191.47606449695715</v>
      </c>
      <c r="AV29" s="26">
        <v>204.2095198971703</v>
      </c>
      <c r="AW29" s="4"/>
    </row>
    <row r="30" spans="1:49" ht="12.75">
      <c r="A30" s="4"/>
      <c r="B30" s="23">
        <v>2033</v>
      </c>
      <c r="C30" s="24">
        <f t="shared" si="0"/>
        <v>19.49290894460688</v>
      </c>
      <c r="D30" s="25">
        <f t="shared" si="1"/>
        <v>13.673996623347326</v>
      </c>
      <c r="E30" s="26">
        <f t="shared" si="1"/>
        <v>12.355928325080106</v>
      </c>
      <c r="F30" s="24">
        <f t="shared" si="1"/>
        <v>20.891544067896923</v>
      </c>
      <c r="G30" s="25">
        <f t="shared" si="1"/>
        <v>14.833993331448342</v>
      </c>
      <c r="H30" s="26">
        <f t="shared" si="1"/>
        <v>13.472085118883394</v>
      </c>
      <c r="I30" s="24">
        <f t="shared" si="1"/>
        <v>22.88101564347839</v>
      </c>
      <c r="J30" s="25">
        <f t="shared" si="1"/>
        <v>16.519455350502195</v>
      </c>
      <c r="K30" s="26">
        <f t="shared" si="1"/>
        <v>15.113463068933347</v>
      </c>
      <c r="L30" s="6"/>
      <c r="M30" s="24">
        <f t="shared" si="2"/>
        <v>3.9235280614140797</v>
      </c>
      <c r="N30" s="25">
        <f t="shared" si="3"/>
        <v>2.5191456921584607</v>
      </c>
      <c r="O30" s="26">
        <f t="shared" si="3"/>
        <v>1.9887169938200555</v>
      </c>
      <c r="P30" s="24">
        <f t="shared" si="3"/>
        <v>5.2312688122162685</v>
      </c>
      <c r="Q30" s="25">
        <f t="shared" si="3"/>
        <v>3.737658126033881</v>
      </c>
      <c r="R30" s="26">
        <f t="shared" si="3"/>
        <v>3.2072294276954754</v>
      </c>
      <c r="S30" s="24">
        <f t="shared" si="3"/>
        <v>6.5389219546478135</v>
      </c>
      <c r="T30" s="25">
        <f t="shared" si="3"/>
        <v>4.956170559909303</v>
      </c>
      <c r="U30" s="26">
        <f t="shared" si="3"/>
        <v>4.425741861570897</v>
      </c>
      <c r="V30" s="6"/>
      <c r="W30" s="24">
        <v>3.7304826911275164</v>
      </c>
      <c r="X30" s="25">
        <v>1.4333794318710065</v>
      </c>
      <c r="Y30" s="26">
        <v>1.077770068831354</v>
      </c>
      <c r="Z30" s="24">
        <v>4.070781115966832</v>
      </c>
      <c r="AA30" s="25">
        <v>1.706843242721138</v>
      </c>
      <c r="AB30" s="26">
        <v>1.3512338796814856</v>
      </c>
      <c r="AC30" s="24">
        <v>5.049424089351734</v>
      </c>
      <c r="AD30" s="25">
        <v>2.0965973120058767</v>
      </c>
      <c r="AE30" s="26">
        <v>1.7409879489662243</v>
      </c>
      <c r="AF30" s="6"/>
      <c r="AG30" s="24">
        <v>43.290063273902256</v>
      </c>
      <c r="AH30" s="25">
        <v>52.87149071270844</v>
      </c>
      <c r="AI30" s="26">
        <v>50.64857345150371</v>
      </c>
      <c r="AJ30" s="24">
        <v>70.91492216515162</v>
      </c>
      <c r="AK30" s="25">
        <v>80.96036794475994</v>
      </c>
      <c r="AL30" s="26">
        <v>78.73745068355521</v>
      </c>
      <c r="AM30" s="24">
        <v>98.539781056401</v>
      </c>
      <c r="AN30" s="25">
        <v>109.04924517681145</v>
      </c>
      <c r="AO30" s="26">
        <v>106.82632791560671</v>
      </c>
      <c r="AP30" s="6"/>
      <c r="AQ30" s="24">
        <v>134.62057939084983</v>
      </c>
      <c r="AR30" s="25">
        <v>139.19315560731692</v>
      </c>
      <c r="AS30" s="24">
        <v>163.5128117658473</v>
      </c>
      <c r="AT30" s="25">
        <v>172.16582757418738</v>
      </c>
      <c r="AU30" s="24">
        <v>192.40504414084475</v>
      </c>
      <c r="AV30" s="26">
        <v>205.1384995410579</v>
      </c>
      <c r="AW30" s="4"/>
    </row>
    <row r="31" spans="1:49" ht="12.75">
      <c r="A31" s="4"/>
      <c r="B31" s="23">
        <v>2034</v>
      </c>
      <c r="C31" s="24">
        <f t="shared" si="0"/>
        <v>19.49290894460688</v>
      </c>
      <c r="D31" s="25">
        <f t="shared" si="1"/>
        <v>13.673996623347326</v>
      </c>
      <c r="E31" s="26">
        <f t="shared" si="1"/>
        <v>12.355928325080106</v>
      </c>
      <c r="F31" s="24">
        <f t="shared" si="1"/>
        <v>20.891544067896923</v>
      </c>
      <c r="G31" s="25">
        <f t="shared" si="1"/>
        <v>14.833993331448342</v>
      </c>
      <c r="H31" s="26">
        <f t="shared" si="1"/>
        <v>13.472085118883394</v>
      </c>
      <c r="I31" s="24">
        <f t="shared" si="1"/>
        <v>22.88101564347839</v>
      </c>
      <c r="J31" s="25">
        <f t="shared" si="1"/>
        <v>16.519455350502195</v>
      </c>
      <c r="K31" s="26">
        <f t="shared" si="1"/>
        <v>15.113463068933347</v>
      </c>
      <c r="L31" s="6"/>
      <c r="M31" s="24">
        <f t="shared" si="2"/>
        <v>3.9235280614140797</v>
      </c>
      <c r="N31" s="25">
        <f t="shared" si="3"/>
        <v>2.5191456921584607</v>
      </c>
      <c r="O31" s="26">
        <f t="shared" si="3"/>
        <v>1.9887169938200555</v>
      </c>
      <c r="P31" s="24">
        <f t="shared" si="3"/>
        <v>5.2312688122162685</v>
      </c>
      <c r="Q31" s="25">
        <f t="shared" si="3"/>
        <v>3.737658126033881</v>
      </c>
      <c r="R31" s="26">
        <f t="shared" si="3"/>
        <v>3.2072294276954754</v>
      </c>
      <c r="S31" s="24">
        <f t="shared" si="3"/>
        <v>6.5389219546478135</v>
      </c>
      <c r="T31" s="25">
        <f t="shared" si="3"/>
        <v>4.956170559909303</v>
      </c>
      <c r="U31" s="26">
        <f t="shared" si="3"/>
        <v>4.425741861570897</v>
      </c>
      <c r="V31" s="6"/>
      <c r="W31" s="24">
        <v>3.7304826911275164</v>
      </c>
      <c r="X31" s="25">
        <v>1.4373970490606254</v>
      </c>
      <c r="Y31" s="26">
        <v>1.0789047554838194</v>
      </c>
      <c r="Z31" s="24">
        <v>4.070781115966832</v>
      </c>
      <c r="AA31" s="25">
        <v>1.7108608599107566</v>
      </c>
      <c r="AB31" s="26">
        <v>1.3523685663339509</v>
      </c>
      <c r="AC31" s="24">
        <v>5.049424089351734</v>
      </c>
      <c r="AD31" s="25">
        <v>2.1006149291954954</v>
      </c>
      <c r="AE31" s="26">
        <v>1.7421226356186896</v>
      </c>
      <c r="AF31" s="6"/>
      <c r="AG31" s="24">
        <v>43.290063273902256</v>
      </c>
      <c r="AH31" s="25">
        <v>53.02191090097377</v>
      </c>
      <c r="AI31" s="26">
        <v>50.79899363976904</v>
      </c>
      <c r="AJ31" s="24">
        <v>70.91492216515162</v>
      </c>
      <c r="AK31" s="25">
        <v>81.11078813302528</v>
      </c>
      <c r="AL31" s="26">
        <v>78.88787087182054</v>
      </c>
      <c r="AM31" s="24">
        <v>98.539781056401</v>
      </c>
      <c r="AN31" s="25">
        <v>109.19966536507678</v>
      </c>
      <c r="AO31" s="26">
        <v>106.97674810387204</v>
      </c>
      <c r="AP31" s="6"/>
      <c r="AQ31" s="24">
        <v>135.55955783716678</v>
      </c>
      <c r="AR31" s="25">
        <v>140.13213405363388</v>
      </c>
      <c r="AS31" s="24">
        <v>164.4517902121642</v>
      </c>
      <c r="AT31" s="25">
        <v>173.10480602050433</v>
      </c>
      <c r="AU31" s="24">
        <v>193.34402258716173</v>
      </c>
      <c r="AV31" s="26">
        <v>206.0774779873749</v>
      </c>
      <c r="AW31" s="4"/>
    </row>
    <row r="32" spans="1:49" ht="12.75">
      <c r="A32" s="4"/>
      <c r="B32" s="23">
        <v>2035</v>
      </c>
      <c r="C32" s="24">
        <f t="shared" si="0"/>
        <v>19.49290894460688</v>
      </c>
      <c r="D32" s="25">
        <f t="shared" si="1"/>
        <v>13.673996623347326</v>
      </c>
      <c r="E32" s="26">
        <f t="shared" si="1"/>
        <v>12.355928325080106</v>
      </c>
      <c r="F32" s="24">
        <f t="shared" si="1"/>
        <v>20.891544067896923</v>
      </c>
      <c r="G32" s="25">
        <f t="shared" si="1"/>
        <v>14.833993331448342</v>
      </c>
      <c r="H32" s="26">
        <f t="shared" si="1"/>
        <v>13.472085118883394</v>
      </c>
      <c r="I32" s="24">
        <f t="shared" si="1"/>
        <v>22.88101564347839</v>
      </c>
      <c r="J32" s="25">
        <f t="shared" si="1"/>
        <v>16.519455350502195</v>
      </c>
      <c r="K32" s="26">
        <f t="shared" si="1"/>
        <v>15.113463068933347</v>
      </c>
      <c r="L32" s="6"/>
      <c r="M32" s="24">
        <f t="shared" si="2"/>
        <v>3.9235280614140797</v>
      </c>
      <c r="N32" s="25">
        <f t="shared" si="3"/>
        <v>2.5191456921584607</v>
      </c>
      <c r="O32" s="26">
        <f t="shared" si="3"/>
        <v>1.9887169938200555</v>
      </c>
      <c r="P32" s="24">
        <f t="shared" si="3"/>
        <v>5.2312688122162685</v>
      </c>
      <c r="Q32" s="25">
        <f t="shared" si="3"/>
        <v>3.737658126033881</v>
      </c>
      <c r="R32" s="26">
        <f t="shared" si="3"/>
        <v>3.2072294276954754</v>
      </c>
      <c r="S32" s="24">
        <f t="shared" si="3"/>
        <v>6.5389219546478135</v>
      </c>
      <c r="T32" s="25">
        <f t="shared" si="3"/>
        <v>4.956170559909303</v>
      </c>
      <c r="U32" s="26">
        <f t="shared" si="3"/>
        <v>4.425741861570897</v>
      </c>
      <c r="V32" s="6"/>
      <c r="W32" s="24">
        <v>3.7304826911275164</v>
      </c>
      <c r="X32" s="25">
        <v>1.4414579087053185</v>
      </c>
      <c r="Y32" s="26">
        <v>1.0800516550063206</v>
      </c>
      <c r="Z32" s="24">
        <v>4.070781115966832</v>
      </c>
      <c r="AA32" s="25">
        <v>1.71492171955545</v>
      </c>
      <c r="AB32" s="26">
        <v>1.353515465856452</v>
      </c>
      <c r="AC32" s="24">
        <v>5.049424089351734</v>
      </c>
      <c r="AD32" s="25">
        <v>2.104675788840189</v>
      </c>
      <c r="AE32" s="26">
        <v>1.7432695351411909</v>
      </c>
      <c r="AF32" s="6"/>
      <c r="AG32" s="24">
        <v>43.290063273902256</v>
      </c>
      <c r="AH32" s="25">
        <v>53.17395009322238</v>
      </c>
      <c r="AI32" s="26">
        <v>50.95103283201765</v>
      </c>
      <c r="AJ32" s="24">
        <v>70.91492216515162</v>
      </c>
      <c r="AK32" s="25">
        <v>81.26282732527389</v>
      </c>
      <c r="AL32" s="26">
        <v>79.03991006406915</v>
      </c>
      <c r="AM32" s="24">
        <v>98.539781056401</v>
      </c>
      <c r="AN32" s="25">
        <v>109.35170455732539</v>
      </c>
      <c r="AO32" s="26">
        <v>107.12878729612065</v>
      </c>
      <c r="AP32" s="6"/>
      <c r="AQ32" s="24">
        <v>136.50864270511727</v>
      </c>
      <c r="AR32" s="25">
        <v>141.0812189215844</v>
      </c>
      <c r="AS32" s="24">
        <v>165.40087508011476</v>
      </c>
      <c r="AT32" s="25">
        <v>174.05389088845487</v>
      </c>
      <c r="AU32" s="24">
        <v>194.29310745511225</v>
      </c>
      <c r="AV32" s="26">
        <v>207.0265628553254</v>
      </c>
      <c r="AW32" s="4"/>
    </row>
    <row r="33" spans="1:49" ht="12.75">
      <c r="A33" s="4"/>
      <c r="B33" s="23">
        <v>2036</v>
      </c>
      <c r="C33" s="24">
        <f t="shared" si="0"/>
        <v>19.49290894460688</v>
      </c>
      <c r="D33" s="25">
        <f t="shared" si="1"/>
        <v>13.673996623347326</v>
      </c>
      <c r="E33" s="26">
        <f t="shared" si="1"/>
        <v>12.355928325080106</v>
      </c>
      <c r="F33" s="24">
        <f t="shared" si="1"/>
        <v>20.891544067896923</v>
      </c>
      <c r="G33" s="25">
        <f t="shared" si="1"/>
        <v>14.833993331448342</v>
      </c>
      <c r="H33" s="26">
        <f t="shared" si="1"/>
        <v>13.472085118883394</v>
      </c>
      <c r="I33" s="24">
        <f t="shared" si="1"/>
        <v>22.88101564347839</v>
      </c>
      <c r="J33" s="25">
        <f t="shared" si="1"/>
        <v>16.519455350502195</v>
      </c>
      <c r="K33" s="26">
        <f t="shared" si="1"/>
        <v>15.113463068933347</v>
      </c>
      <c r="L33" s="6"/>
      <c r="M33" s="24">
        <f t="shared" si="2"/>
        <v>3.9235280614140797</v>
      </c>
      <c r="N33" s="25">
        <f t="shared" si="3"/>
        <v>2.5191456921584607</v>
      </c>
      <c r="O33" s="26">
        <f t="shared" si="3"/>
        <v>1.9887169938200555</v>
      </c>
      <c r="P33" s="24">
        <f t="shared" si="3"/>
        <v>5.2312688122162685</v>
      </c>
      <c r="Q33" s="25">
        <f t="shared" si="3"/>
        <v>3.737658126033881</v>
      </c>
      <c r="R33" s="26">
        <f t="shared" si="3"/>
        <v>3.2072294276954754</v>
      </c>
      <c r="S33" s="24">
        <f t="shared" si="3"/>
        <v>6.5389219546478135</v>
      </c>
      <c r="T33" s="25">
        <f t="shared" si="3"/>
        <v>4.956170559909303</v>
      </c>
      <c r="U33" s="26">
        <f t="shared" si="3"/>
        <v>4.425741861570897</v>
      </c>
      <c r="V33" s="6"/>
      <c r="W33" s="24">
        <v>3.7304826911275164</v>
      </c>
      <c r="X33" s="25">
        <v>1.4455624762326849</v>
      </c>
      <c r="Y33" s="26">
        <v>1.0812108988485358</v>
      </c>
      <c r="Z33" s="24">
        <v>4.070781115966832</v>
      </c>
      <c r="AA33" s="25">
        <v>1.7190262870828161</v>
      </c>
      <c r="AB33" s="26">
        <v>1.354674709698667</v>
      </c>
      <c r="AC33" s="24">
        <v>5.049424089351734</v>
      </c>
      <c r="AD33" s="25">
        <v>2.108780356367555</v>
      </c>
      <c r="AE33" s="26">
        <v>1.7444287789834063</v>
      </c>
      <c r="AF33" s="6"/>
      <c r="AG33" s="24">
        <v>43.2900632739023</v>
      </c>
      <c r="AH33" s="25">
        <v>53.327625715133166</v>
      </c>
      <c r="AI33" s="26">
        <v>51.10470845392843</v>
      </c>
      <c r="AJ33" s="24">
        <v>70.91492216515162</v>
      </c>
      <c r="AK33" s="25">
        <v>81.41650294718467</v>
      </c>
      <c r="AL33" s="26">
        <v>79.19358568597994</v>
      </c>
      <c r="AM33" s="24">
        <v>98.539781056401</v>
      </c>
      <c r="AN33" s="25">
        <v>109.50538017923617</v>
      </c>
      <c r="AO33" s="26">
        <v>107.28246291803143</v>
      </c>
      <c r="AP33" s="6"/>
      <c r="AQ33" s="24">
        <v>137.46794277223358</v>
      </c>
      <c r="AR33" s="25">
        <v>142.04051898870074</v>
      </c>
      <c r="AS33" s="24">
        <v>166.36017514723108</v>
      </c>
      <c r="AT33" s="25">
        <v>175.01319095557122</v>
      </c>
      <c r="AU33" s="24">
        <v>195.25240752222857</v>
      </c>
      <c r="AV33" s="26">
        <v>207.98586292244175</v>
      </c>
      <c r="AW33" s="4"/>
    </row>
    <row r="34" spans="1:49" ht="12.75">
      <c r="A34" s="4"/>
      <c r="B34" s="23">
        <v>2037</v>
      </c>
      <c r="C34" s="24">
        <f t="shared" si="0"/>
        <v>19.49290894460688</v>
      </c>
      <c r="D34" s="25">
        <f t="shared" si="1"/>
        <v>13.673996623347326</v>
      </c>
      <c r="E34" s="26">
        <f t="shared" si="1"/>
        <v>12.355928325080106</v>
      </c>
      <c r="F34" s="24">
        <f t="shared" si="1"/>
        <v>20.891544067896923</v>
      </c>
      <c r="G34" s="25">
        <f t="shared" si="1"/>
        <v>14.833993331448342</v>
      </c>
      <c r="H34" s="26">
        <f t="shared" si="1"/>
        <v>13.472085118883394</v>
      </c>
      <c r="I34" s="24">
        <f t="shared" si="1"/>
        <v>22.88101564347839</v>
      </c>
      <c r="J34" s="25">
        <f t="shared" si="1"/>
        <v>16.519455350502195</v>
      </c>
      <c r="K34" s="26">
        <f t="shared" si="1"/>
        <v>15.113463068933347</v>
      </c>
      <c r="L34" s="6"/>
      <c r="M34" s="24">
        <f t="shared" si="2"/>
        <v>3.9235280614140797</v>
      </c>
      <c r="N34" s="25">
        <f t="shared" si="3"/>
        <v>2.5191456921584607</v>
      </c>
      <c r="O34" s="26">
        <f t="shared" si="3"/>
        <v>1.9887169938200555</v>
      </c>
      <c r="P34" s="24">
        <f t="shared" si="3"/>
        <v>5.2312688122162685</v>
      </c>
      <c r="Q34" s="25">
        <f t="shared" si="3"/>
        <v>3.737658126033881</v>
      </c>
      <c r="R34" s="26">
        <f t="shared" si="3"/>
        <v>3.2072294276954754</v>
      </c>
      <c r="S34" s="24">
        <f t="shared" si="3"/>
        <v>6.5389219546478135</v>
      </c>
      <c r="T34" s="25">
        <f t="shared" si="3"/>
        <v>4.956170559909303</v>
      </c>
      <c r="U34" s="26">
        <f t="shared" si="3"/>
        <v>4.425741861570897</v>
      </c>
      <c r="V34" s="6"/>
      <c r="W34" s="24">
        <v>3.7304826911275164</v>
      </c>
      <c r="X34" s="25">
        <v>1.4497112220798172</v>
      </c>
      <c r="Y34" s="26">
        <v>1.0823826198749626</v>
      </c>
      <c r="Z34" s="24">
        <v>4.070781115966832</v>
      </c>
      <c r="AA34" s="25">
        <v>1.7231750329299487</v>
      </c>
      <c r="AB34" s="26">
        <v>1.3558464307250941</v>
      </c>
      <c r="AC34" s="24">
        <v>5.049424089351734</v>
      </c>
      <c r="AD34" s="25">
        <v>2.112929102214687</v>
      </c>
      <c r="AE34" s="26">
        <v>1.7456005000098334</v>
      </c>
      <c r="AF34" s="6"/>
      <c r="AG34" s="24">
        <v>43.2900632739023</v>
      </c>
      <c r="AH34" s="25">
        <v>53.482955379941224</v>
      </c>
      <c r="AI34" s="26">
        <v>51.26003811873649</v>
      </c>
      <c r="AJ34" s="24">
        <v>70.91492216515162</v>
      </c>
      <c r="AK34" s="25">
        <v>81.57183261199272</v>
      </c>
      <c r="AL34" s="26">
        <v>79.34891535078799</v>
      </c>
      <c r="AM34" s="24">
        <v>98.539781056401</v>
      </c>
      <c r="AN34" s="25">
        <v>109.66070984404423</v>
      </c>
      <c r="AO34" s="26">
        <v>107.43779258283949</v>
      </c>
      <c r="AP34" s="6"/>
      <c r="AQ34" s="24">
        <v>138.4375679868433</v>
      </c>
      <c r="AR34" s="25">
        <v>143.01014420331043</v>
      </c>
      <c r="AS34" s="24">
        <v>167.32980036184085</v>
      </c>
      <c r="AT34" s="25">
        <v>175.9828161701809</v>
      </c>
      <c r="AU34" s="24">
        <v>196.22203273683832</v>
      </c>
      <c r="AV34" s="26">
        <v>208.95548813705145</v>
      </c>
      <c r="AW34" s="4"/>
    </row>
    <row r="35" spans="1:49" ht="12.75">
      <c r="A35" s="4"/>
      <c r="B35" s="23">
        <v>2038</v>
      </c>
      <c r="C35" s="24">
        <f t="shared" si="0"/>
        <v>19.49290894460688</v>
      </c>
      <c r="D35" s="25">
        <f t="shared" si="1"/>
        <v>13.673996623347326</v>
      </c>
      <c r="E35" s="26">
        <f t="shared" si="1"/>
        <v>12.355928325080106</v>
      </c>
      <c r="F35" s="24">
        <f t="shared" si="1"/>
        <v>20.891544067896923</v>
      </c>
      <c r="G35" s="25">
        <f t="shared" si="1"/>
        <v>14.833993331448342</v>
      </c>
      <c r="H35" s="26">
        <f t="shared" si="1"/>
        <v>13.472085118883394</v>
      </c>
      <c r="I35" s="24">
        <f t="shared" si="1"/>
        <v>22.88101564347839</v>
      </c>
      <c r="J35" s="25">
        <f t="shared" si="1"/>
        <v>16.519455350502195</v>
      </c>
      <c r="K35" s="26">
        <f t="shared" si="1"/>
        <v>15.113463068933347</v>
      </c>
      <c r="L35" s="6"/>
      <c r="M35" s="24">
        <f t="shared" si="2"/>
        <v>3.9235280614140797</v>
      </c>
      <c r="N35" s="25">
        <f t="shared" si="3"/>
        <v>2.5191456921584607</v>
      </c>
      <c r="O35" s="26">
        <f t="shared" si="3"/>
        <v>1.9887169938200555</v>
      </c>
      <c r="P35" s="24">
        <f t="shared" si="3"/>
        <v>5.2312688122162685</v>
      </c>
      <c r="Q35" s="25">
        <f t="shared" si="3"/>
        <v>3.737658126033881</v>
      </c>
      <c r="R35" s="26">
        <f t="shared" si="3"/>
        <v>3.2072294276954754</v>
      </c>
      <c r="S35" s="24">
        <f t="shared" si="3"/>
        <v>6.5389219546478135</v>
      </c>
      <c r="T35" s="25">
        <f t="shared" si="3"/>
        <v>4.956170559909303</v>
      </c>
      <c r="U35" s="26">
        <f t="shared" si="3"/>
        <v>4.425741861570897</v>
      </c>
      <c r="V35" s="6"/>
      <c r="W35" s="24">
        <v>3.7304826911275164</v>
      </c>
      <c r="X35" s="25">
        <v>1.4539046217472216</v>
      </c>
      <c r="Y35" s="26">
        <v>1.0835669523801474</v>
      </c>
      <c r="Z35" s="24">
        <v>4.070781115966832</v>
      </c>
      <c r="AA35" s="25">
        <v>1.7273684325973535</v>
      </c>
      <c r="AB35" s="26">
        <v>1.357030763230279</v>
      </c>
      <c r="AC35" s="24">
        <v>5.049424089351734</v>
      </c>
      <c r="AD35" s="25">
        <v>2.117122501882092</v>
      </c>
      <c r="AE35" s="26">
        <v>1.7467848325150175</v>
      </c>
      <c r="AF35" s="6"/>
      <c r="AG35" s="24">
        <v>43.2900632739023</v>
      </c>
      <c r="AH35" s="25">
        <v>53.63995689045661</v>
      </c>
      <c r="AI35" s="26">
        <v>51.417039629251875</v>
      </c>
      <c r="AJ35" s="24">
        <v>70.91492216515162</v>
      </c>
      <c r="AK35" s="25">
        <v>81.72883412250812</v>
      </c>
      <c r="AL35" s="26">
        <v>79.50591686130338</v>
      </c>
      <c r="AM35" s="24">
        <v>98.539781056401</v>
      </c>
      <c r="AN35" s="25">
        <v>109.81771135455963</v>
      </c>
      <c r="AO35" s="26">
        <v>107.59479409335488</v>
      </c>
      <c r="AP35" s="6"/>
      <c r="AQ35" s="24">
        <v>139.41762948067097</v>
      </c>
      <c r="AR35" s="25">
        <v>143.9902056971381</v>
      </c>
      <c r="AS35" s="24">
        <v>168.30986185566846</v>
      </c>
      <c r="AT35" s="25">
        <v>176.96287766400857</v>
      </c>
      <c r="AU35" s="24">
        <v>197.20209423066598</v>
      </c>
      <c r="AV35" s="26">
        <v>209.93554963087914</v>
      </c>
      <c r="AW35" s="4"/>
    </row>
    <row r="36" spans="1:49" ht="12.75">
      <c r="A36" s="4"/>
      <c r="B36" s="23">
        <v>2039</v>
      </c>
      <c r="C36" s="24">
        <f t="shared" si="0"/>
        <v>19.49290894460688</v>
      </c>
      <c r="D36" s="25">
        <f t="shared" si="1"/>
        <v>13.673996623347326</v>
      </c>
      <c r="E36" s="26">
        <f t="shared" si="1"/>
        <v>12.355928325080106</v>
      </c>
      <c r="F36" s="24">
        <f t="shared" si="1"/>
        <v>20.891544067896923</v>
      </c>
      <c r="G36" s="25">
        <f t="shared" si="1"/>
        <v>14.833993331448342</v>
      </c>
      <c r="H36" s="26">
        <f t="shared" si="1"/>
        <v>13.472085118883394</v>
      </c>
      <c r="I36" s="24">
        <f t="shared" si="1"/>
        <v>22.88101564347839</v>
      </c>
      <c r="J36" s="25">
        <f t="shared" si="1"/>
        <v>16.519455350502195</v>
      </c>
      <c r="K36" s="26">
        <f t="shared" si="1"/>
        <v>15.113463068933347</v>
      </c>
      <c r="L36" s="6"/>
      <c r="M36" s="24">
        <f t="shared" si="2"/>
        <v>3.9235280614140797</v>
      </c>
      <c r="N36" s="25">
        <f t="shared" si="3"/>
        <v>2.5191456921584607</v>
      </c>
      <c r="O36" s="26">
        <f t="shared" si="3"/>
        <v>1.9887169938200555</v>
      </c>
      <c r="P36" s="24">
        <f t="shared" si="3"/>
        <v>5.2312688122162685</v>
      </c>
      <c r="Q36" s="25">
        <f t="shared" si="3"/>
        <v>3.737658126033881</v>
      </c>
      <c r="R36" s="26">
        <f t="shared" si="3"/>
        <v>3.2072294276954754</v>
      </c>
      <c r="S36" s="24">
        <f t="shared" si="3"/>
        <v>6.5389219546478135</v>
      </c>
      <c r="T36" s="25">
        <f t="shared" si="3"/>
        <v>4.956170559909303</v>
      </c>
      <c r="U36" s="26">
        <f t="shared" si="3"/>
        <v>4.425741861570897</v>
      </c>
      <c r="V36" s="6"/>
      <c r="W36" s="24">
        <v>3.7304826911275164</v>
      </c>
      <c r="X36" s="25">
        <v>1.4581431558533167</v>
      </c>
      <c r="Y36" s="26">
        <v>1.0847640321040772</v>
      </c>
      <c r="Z36" s="24">
        <v>4.070781115966832</v>
      </c>
      <c r="AA36" s="25">
        <v>1.7316069667034482</v>
      </c>
      <c r="AB36" s="26">
        <v>1.3582278429542087</v>
      </c>
      <c r="AC36" s="24">
        <v>5.049424089351734</v>
      </c>
      <c r="AD36" s="25">
        <v>2.121361035988187</v>
      </c>
      <c r="AE36" s="26">
        <v>1.7479819122389473</v>
      </c>
      <c r="AF36" s="6"/>
      <c r="AG36" s="24">
        <v>43.2900632739023</v>
      </c>
      <c r="AH36" s="25">
        <v>53.79864824110475</v>
      </c>
      <c r="AI36" s="26">
        <v>51.575730979900015</v>
      </c>
      <c r="AJ36" s="24">
        <v>70.91492216515162</v>
      </c>
      <c r="AK36" s="25">
        <v>81.88752547315624</v>
      </c>
      <c r="AL36" s="26">
        <v>79.66460821195152</v>
      </c>
      <c r="AM36" s="24">
        <v>98.539781056401</v>
      </c>
      <c r="AN36" s="25">
        <v>109.97640270520776</v>
      </c>
      <c r="AO36" s="26">
        <v>107.753485444003</v>
      </c>
      <c r="AP36" s="6"/>
      <c r="AQ36" s="24">
        <v>140.40823958157506</v>
      </c>
      <c r="AR36" s="25">
        <v>144.9808157980422</v>
      </c>
      <c r="AS36" s="24">
        <v>169.30047195657258</v>
      </c>
      <c r="AT36" s="25">
        <v>177.95348776491267</v>
      </c>
      <c r="AU36" s="24">
        <v>198.19270433157004</v>
      </c>
      <c r="AV36" s="26">
        <v>210.92615973178317</v>
      </c>
      <c r="AW36" s="4"/>
    </row>
    <row r="37" spans="1:49" ht="12.75">
      <c r="A37" s="4"/>
      <c r="B37" s="23">
        <v>2040</v>
      </c>
      <c r="C37" s="24">
        <f t="shared" si="0"/>
        <v>19.49290894460688</v>
      </c>
      <c r="D37" s="25">
        <f t="shared" si="1"/>
        <v>13.673996623347326</v>
      </c>
      <c r="E37" s="26">
        <f t="shared" si="1"/>
        <v>12.355928325080106</v>
      </c>
      <c r="F37" s="24">
        <f t="shared" si="1"/>
        <v>20.891544067896923</v>
      </c>
      <c r="G37" s="25">
        <f t="shared" si="1"/>
        <v>14.833993331448342</v>
      </c>
      <c r="H37" s="26">
        <f t="shared" si="1"/>
        <v>13.472085118883394</v>
      </c>
      <c r="I37" s="24">
        <f t="shared" si="1"/>
        <v>22.88101564347839</v>
      </c>
      <c r="J37" s="25">
        <f t="shared" si="1"/>
        <v>16.519455350502195</v>
      </c>
      <c r="K37" s="26">
        <f t="shared" si="1"/>
        <v>15.113463068933347</v>
      </c>
      <c r="L37" s="6"/>
      <c r="M37" s="24">
        <f t="shared" si="2"/>
        <v>3.9235280614140797</v>
      </c>
      <c r="N37" s="25">
        <f t="shared" si="3"/>
        <v>2.5191456921584607</v>
      </c>
      <c r="O37" s="26">
        <f t="shared" si="3"/>
        <v>1.9887169938200555</v>
      </c>
      <c r="P37" s="24">
        <f t="shared" si="3"/>
        <v>5.2312688122162685</v>
      </c>
      <c r="Q37" s="25">
        <f t="shared" si="3"/>
        <v>3.737658126033881</v>
      </c>
      <c r="R37" s="26">
        <f t="shared" si="3"/>
        <v>3.2072294276954754</v>
      </c>
      <c r="S37" s="24">
        <f t="shared" si="3"/>
        <v>6.5389219546478135</v>
      </c>
      <c r="T37" s="25">
        <f t="shared" si="3"/>
        <v>4.956170559909303</v>
      </c>
      <c r="U37" s="26">
        <f t="shared" si="3"/>
        <v>4.425741861570897</v>
      </c>
      <c r="V37" s="6"/>
      <c r="W37" s="24">
        <v>3.7304826911275164</v>
      </c>
      <c r="X37" s="25">
        <v>1.4624273101895162</v>
      </c>
      <c r="Y37" s="26">
        <v>1.085973996247736</v>
      </c>
      <c r="Z37" s="24">
        <v>4.070781115966832</v>
      </c>
      <c r="AA37" s="25">
        <v>1.7358911210396482</v>
      </c>
      <c r="AB37" s="26">
        <v>1.3594378070978674</v>
      </c>
      <c r="AC37" s="24">
        <v>5.049424089351734</v>
      </c>
      <c r="AD37" s="25">
        <v>2.125645190324387</v>
      </c>
      <c r="AE37" s="26">
        <v>1.749191876382606</v>
      </c>
      <c r="AF37" s="6"/>
      <c r="AG37" s="24">
        <v>43.2900632739023</v>
      </c>
      <c r="AH37" s="25">
        <v>53.95904761998883</v>
      </c>
      <c r="AI37" s="26">
        <v>51.736130358784095</v>
      </c>
      <c r="AJ37" s="24">
        <v>70.91492216515162</v>
      </c>
      <c r="AK37" s="25">
        <v>82.04792485204032</v>
      </c>
      <c r="AL37" s="26">
        <v>79.8250075908356</v>
      </c>
      <c r="AM37" s="24">
        <v>98.539781056401</v>
      </c>
      <c r="AN37" s="25">
        <v>110.13680208409184</v>
      </c>
      <c r="AO37" s="26">
        <v>107.9138848228871</v>
      </c>
      <c r="AP37" s="6"/>
      <c r="AQ37" s="24">
        <v>141.40951182642237</v>
      </c>
      <c r="AR37" s="25">
        <v>145.98208804288947</v>
      </c>
      <c r="AS37" s="24">
        <v>170.3017442014198</v>
      </c>
      <c r="AT37" s="25">
        <v>178.95476000975992</v>
      </c>
      <c r="AU37" s="24">
        <v>199.19397657641733</v>
      </c>
      <c r="AV37" s="26">
        <v>211.9274319766305</v>
      </c>
      <c r="AW37" s="4"/>
    </row>
    <row r="38" spans="1:49" ht="12.75">
      <c r="A38" s="4"/>
      <c r="B38" s="23">
        <v>2041</v>
      </c>
      <c r="C38" s="24">
        <f t="shared" si="0"/>
        <v>19.49290894460688</v>
      </c>
      <c r="D38" s="25">
        <f t="shared" si="1"/>
        <v>13.673996623347326</v>
      </c>
      <c r="E38" s="26">
        <f t="shared" si="1"/>
        <v>12.355928325080106</v>
      </c>
      <c r="F38" s="24">
        <f t="shared" si="1"/>
        <v>20.891544067896923</v>
      </c>
      <c r="G38" s="25">
        <f t="shared" si="1"/>
        <v>14.833993331448342</v>
      </c>
      <c r="H38" s="26">
        <f t="shared" si="1"/>
        <v>13.472085118883394</v>
      </c>
      <c r="I38" s="24">
        <f t="shared" si="1"/>
        <v>22.88101564347839</v>
      </c>
      <c r="J38" s="25">
        <f t="shared" si="1"/>
        <v>16.519455350502195</v>
      </c>
      <c r="K38" s="26">
        <f t="shared" si="1"/>
        <v>15.113463068933347</v>
      </c>
      <c r="L38" s="6"/>
      <c r="M38" s="24">
        <f t="shared" si="2"/>
        <v>3.9235280614140797</v>
      </c>
      <c r="N38" s="25">
        <f t="shared" si="3"/>
        <v>2.5191456921584607</v>
      </c>
      <c r="O38" s="26">
        <f t="shared" si="3"/>
        <v>1.9887169938200555</v>
      </c>
      <c r="P38" s="24">
        <f t="shared" si="3"/>
        <v>5.2312688122162685</v>
      </c>
      <c r="Q38" s="25">
        <f t="shared" si="3"/>
        <v>3.737658126033881</v>
      </c>
      <c r="R38" s="26">
        <f t="shared" si="3"/>
        <v>3.2072294276954754</v>
      </c>
      <c r="S38" s="24">
        <f t="shared" si="3"/>
        <v>6.5389219546478135</v>
      </c>
      <c r="T38" s="25">
        <f t="shared" si="3"/>
        <v>4.956170559909303</v>
      </c>
      <c r="U38" s="26">
        <f t="shared" si="3"/>
        <v>4.425741861570897</v>
      </c>
      <c r="V38" s="6"/>
      <c r="W38" s="24">
        <v>3.7304826911275164</v>
      </c>
      <c r="X38" s="25">
        <v>1.4667575757759101</v>
      </c>
      <c r="Y38" s="26">
        <v>1.087196983488831</v>
      </c>
      <c r="Z38" s="24">
        <v>4.070781115966832</v>
      </c>
      <c r="AA38" s="25">
        <v>1.7402213866260419</v>
      </c>
      <c r="AB38" s="26">
        <v>1.3606607943389626</v>
      </c>
      <c r="AC38" s="24">
        <v>5.049424089351734</v>
      </c>
      <c r="AD38" s="25">
        <v>2.12997545591078</v>
      </c>
      <c r="AE38" s="26">
        <v>1.7504148636237014</v>
      </c>
      <c r="AF38" s="6"/>
      <c r="AG38" s="24">
        <v>43.2900632739023</v>
      </c>
      <c r="AH38" s="25">
        <v>54.121173410974386</v>
      </c>
      <c r="AI38" s="26">
        <v>51.89825614976965</v>
      </c>
      <c r="AJ38" s="24">
        <v>70.91492216515162</v>
      </c>
      <c r="AK38" s="25">
        <v>82.2100506430259</v>
      </c>
      <c r="AL38" s="26">
        <v>79.98713338182117</v>
      </c>
      <c r="AM38" s="24">
        <v>98.539781056401</v>
      </c>
      <c r="AN38" s="25">
        <v>110.2989278750774</v>
      </c>
      <c r="AO38" s="26">
        <v>108.07601061387265</v>
      </c>
      <c r="AP38" s="6"/>
      <c r="AQ38" s="24">
        <v>142.42156097410063</v>
      </c>
      <c r="AR38" s="25">
        <v>146.99413719056776</v>
      </c>
      <c r="AS38" s="24">
        <v>171.3137933490981</v>
      </c>
      <c r="AT38" s="25">
        <v>179.96680915743823</v>
      </c>
      <c r="AU38" s="24">
        <v>200.20602572409564</v>
      </c>
      <c r="AV38" s="26">
        <v>212.93948112430877</v>
      </c>
      <c r="AW38" s="4"/>
    </row>
    <row r="39" spans="1:49" ht="12.75">
      <c r="A39" s="4"/>
      <c r="B39" s="23">
        <v>2042</v>
      </c>
      <c r="C39" s="24">
        <f t="shared" si="0"/>
        <v>19.49290894460688</v>
      </c>
      <c r="D39" s="25">
        <f t="shared" si="1"/>
        <v>13.673996623347326</v>
      </c>
      <c r="E39" s="26">
        <f t="shared" si="1"/>
        <v>12.355928325080106</v>
      </c>
      <c r="F39" s="24">
        <f t="shared" si="1"/>
        <v>20.891544067896923</v>
      </c>
      <c r="G39" s="25">
        <f t="shared" si="1"/>
        <v>14.833993331448342</v>
      </c>
      <c r="H39" s="26">
        <f t="shared" si="1"/>
        <v>13.472085118883394</v>
      </c>
      <c r="I39" s="24">
        <f t="shared" si="1"/>
        <v>22.88101564347839</v>
      </c>
      <c r="J39" s="25">
        <f t="shared" si="1"/>
        <v>16.519455350502195</v>
      </c>
      <c r="K39" s="26">
        <f t="shared" si="1"/>
        <v>15.113463068933347</v>
      </c>
      <c r="L39" s="6"/>
      <c r="M39" s="24">
        <f t="shared" si="2"/>
        <v>3.9235280614140797</v>
      </c>
      <c r="N39" s="25">
        <f t="shared" si="3"/>
        <v>2.5191456921584607</v>
      </c>
      <c r="O39" s="26">
        <f t="shared" si="3"/>
        <v>1.9887169938200555</v>
      </c>
      <c r="P39" s="24">
        <f t="shared" si="3"/>
        <v>5.2312688122162685</v>
      </c>
      <c r="Q39" s="25">
        <f t="shared" si="3"/>
        <v>3.737658126033881</v>
      </c>
      <c r="R39" s="26">
        <f t="shared" si="3"/>
        <v>3.2072294276954754</v>
      </c>
      <c r="S39" s="24">
        <f t="shared" si="3"/>
        <v>6.5389219546478135</v>
      </c>
      <c r="T39" s="25">
        <f t="shared" si="3"/>
        <v>4.956170559909303</v>
      </c>
      <c r="U39" s="26">
        <f t="shared" si="3"/>
        <v>4.425741861570897</v>
      </c>
      <c r="V39" s="6"/>
      <c r="W39" s="24">
        <v>3.7304826911275164</v>
      </c>
      <c r="X39" s="25">
        <v>1.471134448917539</v>
      </c>
      <c r="Y39" s="26">
        <v>1.0884331339976876</v>
      </c>
      <c r="Z39" s="24">
        <v>4.070781115966832</v>
      </c>
      <c r="AA39" s="25">
        <v>1.7445982597676706</v>
      </c>
      <c r="AB39" s="26">
        <v>1.361896944847819</v>
      </c>
      <c r="AC39" s="24">
        <v>5.049424089351734</v>
      </c>
      <c r="AD39" s="25">
        <v>2.134352329052409</v>
      </c>
      <c r="AE39" s="26">
        <v>1.751651014132558</v>
      </c>
      <c r="AF39" s="6"/>
      <c r="AG39" s="24">
        <v>43.2900632739023</v>
      </c>
      <c r="AH39" s="25">
        <v>54.285044195796395</v>
      </c>
      <c r="AI39" s="26">
        <v>52.06212693459166</v>
      </c>
      <c r="AJ39" s="24">
        <v>70.91492216515162</v>
      </c>
      <c r="AK39" s="25">
        <v>82.3739214278479</v>
      </c>
      <c r="AL39" s="26">
        <v>80.15100416664316</v>
      </c>
      <c r="AM39" s="24">
        <v>98.539781056401</v>
      </c>
      <c r="AN39" s="25">
        <v>110.46279865989942</v>
      </c>
      <c r="AO39" s="26">
        <v>108.23988139869466</v>
      </c>
      <c r="AP39" s="6"/>
      <c r="AQ39" s="24">
        <v>143.44450301867178</v>
      </c>
      <c r="AR39" s="25">
        <v>148.01707923513888</v>
      </c>
      <c r="AS39" s="24">
        <v>172.33673539366927</v>
      </c>
      <c r="AT39" s="25">
        <v>180.98975120200936</v>
      </c>
      <c r="AU39" s="24">
        <v>201.2289677686667</v>
      </c>
      <c r="AV39" s="26">
        <v>213.9624231688799</v>
      </c>
      <c r="AW39" s="4"/>
    </row>
    <row r="40" spans="1:49" ht="12.75">
      <c r="A40" s="4"/>
      <c r="B40" s="23">
        <v>2043</v>
      </c>
      <c r="C40" s="24">
        <f t="shared" si="0"/>
        <v>19.49290894460688</v>
      </c>
      <c r="D40" s="25">
        <f t="shared" si="1"/>
        <v>13.673996623347326</v>
      </c>
      <c r="E40" s="26">
        <f t="shared" si="1"/>
        <v>12.355928325080106</v>
      </c>
      <c r="F40" s="24">
        <f t="shared" si="1"/>
        <v>20.891544067896923</v>
      </c>
      <c r="G40" s="25">
        <f t="shared" si="1"/>
        <v>14.833993331448342</v>
      </c>
      <c r="H40" s="26">
        <f t="shared" si="1"/>
        <v>13.472085118883394</v>
      </c>
      <c r="I40" s="24">
        <f t="shared" si="1"/>
        <v>22.88101564347839</v>
      </c>
      <c r="J40" s="25">
        <f t="shared" si="1"/>
        <v>16.519455350502195</v>
      </c>
      <c r="K40" s="26">
        <f t="shared" si="1"/>
        <v>15.113463068933347</v>
      </c>
      <c r="L40" s="6"/>
      <c r="M40" s="24">
        <f t="shared" si="2"/>
        <v>3.9235280614140797</v>
      </c>
      <c r="N40" s="25">
        <f t="shared" si="3"/>
        <v>2.5191456921584607</v>
      </c>
      <c r="O40" s="26">
        <f t="shared" si="3"/>
        <v>1.9887169938200555</v>
      </c>
      <c r="P40" s="24">
        <f t="shared" si="3"/>
        <v>5.2312688122162685</v>
      </c>
      <c r="Q40" s="25">
        <f t="shared" si="3"/>
        <v>3.737658126033881</v>
      </c>
      <c r="R40" s="26">
        <f t="shared" si="3"/>
        <v>3.2072294276954754</v>
      </c>
      <c r="S40" s="24">
        <f t="shared" si="3"/>
        <v>6.5389219546478135</v>
      </c>
      <c r="T40" s="25">
        <f t="shared" si="3"/>
        <v>4.956170559909303</v>
      </c>
      <c r="U40" s="26">
        <f t="shared" si="3"/>
        <v>4.425741861570897</v>
      </c>
      <c r="V40" s="6"/>
      <c r="W40" s="24">
        <v>3.7304826911275164</v>
      </c>
      <c r="X40" s="25">
        <v>1.4755584312612793</v>
      </c>
      <c r="Y40" s="26">
        <v>1.089682589453313</v>
      </c>
      <c r="Z40" s="24">
        <v>4.070781115966832</v>
      </c>
      <c r="AA40" s="25">
        <v>1.7490222421114108</v>
      </c>
      <c r="AB40" s="26">
        <v>1.3631464003034446</v>
      </c>
      <c r="AC40" s="24">
        <v>5.049424089351734</v>
      </c>
      <c r="AD40" s="25">
        <v>2.1387763113961493</v>
      </c>
      <c r="AE40" s="26">
        <v>1.7529004695881834</v>
      </c>
      <c r="AF40" s="6"/>
      <c r="AG40" s="24">
        <v>43.2900632739023</v>
      </c>
      <c r="AH40" s="25">
        <v>54.45067875618889</v>
      </c>
      <c r="AI40" s="26">
        <v>52.22776149498416</v>
      </c>
      <c r="AJ40" s="24">
        <v>70.91492216515162</v>
      </c>
      <c r="AK40" s="25">
        <v>82.53955598824041</v>
      </c>
      <c r="AL40" s="26">
        <v>80.31663872703567</v>
      </c>
      <c r="AM40" s="24">
        <v>98.539781056401</v>
      </c>
      <c r="AN40" s="25">
        <v>110.62843322029191</v>
      </c>
      <c r="AO40" s="26">
        <v>108.40551595908717</v>
      </c>
      <c r="AP40" s="6"/>
      <c r="AQ40" s="24">
        <v>144.47845520266588</v>
      </c>
      <c r="AR40" s="25">
        <v>149.05103141913298</v>
      </c>
      <c r="AS40" s="24">
        <v>173.37068757766338</v>
      </c>
      <c r="AT40" s="25">
        <v>182.0237033860035</v>
      </c>
      <c r="AU40" s="24">
        <v>202.26291995266087</v>
      </c>
      <c r="AV40" s="26">
        <v>214.99637535287403</v>
      </c>
      <c r="AW40" s="4"/>
    </row>
    <row r="41" spans="1:49" ht="12.75">
      <c r="A41" s="4"/>
      <c r="B41" s="23">
        <v>2044</v>
      </c>
      <c r="C41" s="24">
        <f t="shared" si="0"/>
        <v>19.49290894460688</v>
      </c>
      <c r="D41" s="25">
        <f t="shared" si="1"/>
        <v>13.673996623347326</v>
      </c>
      <c r="E41" s="26">
        <f t="shared" si="1"/>
        <v>12.355928325080106</v>
      </c>
      <c r="F41" s="24">
        <f t="shared" si="1"/>
        <v>20.891544067896923</v>
      </c>
      <c r="G41" s="25">
        <f t="shared" si="1"/>
        <v>14.833993331448342</v>
      </c>
      <c r="H41" s="26">
        <f t="shared" si="1"/>
        <v>13.472085118883394</v>
      </c>
      <c r="I41" s="24">
        <f t="shared" si="1"/>
        <v>22.88101564347839</v>
      </c>
      <c r="J41" s="25">
        <f t="shared" si="1"/>
        <v>16.519455350502195</v>
      </c>
      <c r="K41" s="26">
        <f t="shared" si="1"/>
        <v>15.113463068933347</v>
      </c>
      <c r="L41" s="6"/>
      <c r="M41" s="24">
        <f t="shared" si="2"/>
        <v>3.9235280614140797</v>
      </c>
      <c r="N41" s="25">
        <f t="shared" si="3"/>
        <v>2.5191456921584607</v>
      </c>
      <c r="O41" s="26">
        <f t="shared" si="3"/>
        <v>1.9887169938200555</v>
      </c>
      <c r="P41" s="24">
        <f t="shared" si="3"/>
        <v>5.2312688122162685</v>
      </c>
      <c r="Q41" s="25">
        <f t="shared" si="3"/>
        <v>3.737658126033881</v>
      </c>
      <c r="R41" s="26">
        <f t="shared" si="3"/>
        <v>3.2072294276954754</v>
      </c>
      <c r="S41" s="24">
        <f t="shared" si="3"/>
        <v>6.5389219546478135</v>
      </c>
      <c r="T41" s="25">
        <f t="shared" si="3"/>
        <v>4.956170559909303</v>
      </c>
      <c r="U41" s="26">
        <f t="shared" si="3"/>
        <v>4.425741861570897</v>
      </c>
      <c r="V41" s="6"/>
      <c r="W41" s="24">
        <v>3.7304826911275164</v>
      </c>
      <c r="X41" s="25">
        <v>1.4800300298533375</v>
      </c>
      <c r="Y41" s="26">
        <v>1.0909454930596345</v>
      </c>
      <c r="Z41" s="24">
        <v>4.070781115966832</v>
      </c>
      <c r="AA41" s="25">
        <v>1.7534938407034693</v>
      </c>
      <c r="AB41" s="26">
        <v>1.364409303909766</v>
      </c>
      <c r="AC41" s="24">
        <v>5.049424089351734</v>
      </c>
      <c r="AD41" s="25">
        <v>2.1432479099882076</v>
      </c>
      <c r="AE41" s="26">
        <v>1.7541633731945052</v>
      </c>
      <c r="AF41" s="6"/>
      <c r="AG41" s="24">
        <v>43.2900632739023</v>
      </c>
      <c r="AH41" s="25">
        <v>54.61809607603767</v>
      </c>
      <c r="AI41" s="26">
        <v>52.39517881483294</v>
      </c>
      <c r="AJ41" s="24">
        <v>70.91492216515162</v>
      </c>
      <c r="AK41" s="25">
        <v>82.70697330808918</v>
      </c>
      <c r="AL41" s="26">
        <v>80.48405604688445</v>
      </c>
      <c r="AM41" s="24">
        <v>98.539781056401</v>
      </c>
      <c r="AN41" s="25">
        <v>110.79585054014068</v>
      </c>
      <c r="AO41" s="26">
        <v>108.57293327893593</v>
      </c>
      <c r="AP41" s="6"/>
      <c r="AQ41" s="24">
        <v>145.52353603051904</v>
      </c>
      <c r="AR41" s="25">
        <v>150.09611224698617</v>
      </c>
      <c r="AS41" s="24">
        <v>174.41576840551653</v>
      </c>
      <c r="AT41" s="25">
        <v>183.06878421385662</v>
      </c>
      <c r="AU41" s="24">
        <v>203.30800078051402</v>
      </c>
      <c r="AV41" s="26">
        <v>216.04145618072718</v>
      </c>
      <c r="AW41" s="4"/>
    </row>
    <row r="42" spans="1:49" ht="12.75">
      <c r="A42" s="4"/>
      <c r="B42" s="23">
        <v>2045</v>
      </c>
      <c r="C42" s="24">
        <f t="shared" si="0"/>
        <v>19.49290894460688</v>
      </c>
      <c r="D42" s="25">
        <f t="shared" si="1"/>
        <v>13.673996623347326</v>
      </c>
      <c r="E42" s="26">
        <f t="shared" si="1"/>
        <v>12.355928325080106</v>
      </c>
      <c r="F42" s="24">
        <f t="shared" si="1"/>
        <v>20.891544067896923</v>
      </c>
      <c r="G42" s="25">
        <f t="shared" si="1"/>
        <v>14.833993331448342</v>
      </c>
      <c r="H42" s="26">
        <f t="shared" si="1"/>
        <v>13.472085118883394</v>
      </c>
      <c r="I42" s="24">
        <f t="shared" si="1"/>
        <v>22.88101564347839</v>
      </c>
      <c r="J42" s="25">
        <f t="shared" si="1"/>
        <v>16.519455350502195</v>
      </c>
      <c r="K42" s="26">
        <f t="shared" si="1"/>
        <v>15.113463068933347</v>
      </c>
      <c r="L42" s="6"/>
      <c r="M42" s="24">
        <f t="shared" si="2"/>
        <v>3.9235280614140797</v>
      </c>
      <c r="N42" s="25">
        <f t="shared" si="3"/>
        <v>2.5191456921584607</v>
      </c>
      <c r="O42" s="26">
        <f t="shared" si="3"/>
        <v>1.9887169938200555</v>
      </c>
      <c r="P42" s="24">
        <f t="shared" si="3"/>
        <v>5.2312688122162685</v>
      </c>
      <c r="Q42" s="25">
        <f t="shared" si="3"/>
        <v>3.737658126033881</v>
      </c>
      <c r="R42" s="26">
        <f t="shared" si="3"/>
        <v>3.2072294276954754</v>
      </c>
      <c r="S42" s="24">
        <f t="shared" si="3"/>
        <v>6.5389219546478135</v>
      </c>
      <c r="T42" s="25">
        <f t="shared" si="3"/>
        <v>4.956170559909303</v>
      </c>
      <c r="U42" s="26">
        <f t="shared" si="3"/>
        <v>4.425741861570897</v>
      </c>
      <c r="V42" s="6"/>
      <c r="W42" s="24">
        <v>3.7304826911275164</v>
      </c>
      <c r="X42" s="25">
        <v>1.4845497571973654</v>
      </c>
      <c r="Y42" s="26">
        <v>1.092221989561915</v>
      </c>
      <c r="Z42" s="24">
        <v>4.070781115966832</v>
      </c>
      <c r="AA42" s="25">
        <v>1.758013568047497</v>
      </c>
      <c r="AB42" s="26">
        <v>1.3656858004120462</v>
      </c>
      <c r="AC42" s="24">
        <v>5.049424089351734</v>
      </c>
      <c r="AD42" s="25">
        <v>2.147767637332236</v>
      </c>
      <c r="AE42" s="26">
        <v>1.7554398696967852</v>
      </c>
      <c r="AF42" s="6"/>
      <c r="AG42" s="24">
        <v>43.2900632739023</v>
      </c>
      <c r="AH42" s="25">
        <v>54.78731534355606</v>
      </c>
      <c r="AI42" s="26">
        <v>52.564398082351325</v>
      </c>
      <c r="AJ42" s="24">
        <v>70.91492216515162</v>
      </c>
      <c r="AK42" s="25">
        <v>82.87619257560756</v>
      </c>
      <c r="AL42" s="26">
        <v>80.65327531440283</v>
      </c>
      <c r="AM42" s="24">
        <v>98.539781056401</v>
      </c>
      <c r="AN42" s="25">
        <v>110.96506980765906</v>
      </c>
      <c r="AO42" s="26">
        <v>108.74215254645432</v>
      </c>
      <c r="AP42" s="6"/>
      <c r="AQ42" s="24">
        <v>146.57986528215534</v>
      </c>
      <c r="AR42" s="25">
        <v>151.15244149862244</v>
      </c>
      <c r="AS42" s="24">
        <v>175.47209765715277</v>
      </c>
      <c r="AT42" s="25">
        <v>184.12511346549294</v>
      </c>
      <c r="AU42" s="24">
        <v>204.36433003215035</v>
      </c>
      <c r="AV42" s="26">
        <v>217.09778543236345</v>
      </c>
      <c r="AW42" s="4"/>
    </row>
    <row r="43" spans="1:49" ht="12.75">
      <c r="A43" s="4"/>
      <c r="B43" s="23">
        <v>2046</v>
      </c>
      <c r="C43" s="24">
        <f t="shared" si="0"/>
        <v>19.49290894460688</v>
      </c>
      <c r="D43" s="25">
        <f t="shared" si="1"/>
        <v>13.673996623347326</v>
      </c>
      <c r="E43" s="26">
        <f t="shared" si="1"/>
        <v>12.355928325080106</v>
      </c>
      <c r="F43" s="24">
        <f t="shared" si="1"/>
        <v>20.891544067896923</v>
      </c>
      <c r="G43" s="25">
        <f t="shared" si="1"/>
        <v>14.833993331448342</v>
      </c>
      <c r="H43" s="26">
        <f t="shared" si="1"/>
        <v>13.472085118883394</v>
      </c>
      <c r="I43" s="24">
        <f t="shared" si="1"/>
        <v>22.88101564347839</v>
      </c>
      <c r="J43" s="25">
        <f t="shared" si="1"/>
        <v>16.519455350502195</v>
      </c>
      <c r="K43" s="26">
        <f t="shared" si="1"/>
        <v>15.113463068933347</v>
      </c>
      <c r="L43" s="6"/>
      <c r="M43" s="24">
        <f t="shared" si="2"/>
        <v>3.9235280614140797</v>
      </c>
      <c r="N43" s="25">
        <f t="shared" si="3"/>
        <v>2.5191456921584607</v>
      </c>
      <c r="O43" s="26">
        <f t="shared" si="3"/>
        <v>1.9887169938200555</v>
      </c>
      <c r="P43" s="24">
        <f t="shared" si="3"/>
        <v>5.2312688122162685</v>
      </c>
      <c r="Q43" s="25">
        <f t="shared" si="3"/>
        <v>3.737658126033881</v>
      </c>
      <c r="R43" s="26">
        <f t="shared" si="3"/>
        <v>3.2072294276954754</v>
      </c>
      <c r="S43" s="24">
        <f t="shared" si="3"/>
        <v>6.5389219546478135</v>
      </c>
      <c r="T43" s="25">
        <f t="shared" si="3"/>
        <v>4.956170559909303</v>
      </c>
      <c r="U43" s="26">
        <f t="shared" si="3"/>
        <v>4.425741861570897</v>
      </c>
      <c r="V43" s="6"/>
      <c r="W43" s="24">
        <v>3.7304826911275164</v>
      </c>
      <c r="X43" s="25">
        <v>1.489118131313198</v>
      </c>
      <c r="Y43" s="26">
        <v>1.0935122252633387</v>
      </c>
      <c r="Z43" s="24">
        <v>4.070781115966832</v>
      </c>
      <c r="AA43" s="25">
        <v>1.7625819421633293</v>
      </c>
      <c r="AB43" s="26">
        <v>1.3669760361134702</v>
      </c>
      <c r="AC43" s="24">
        <v>5.049424089351734</v>
      </c>
      <c r="AD43" s="25">
        <v>2.1523360114480683</v>
      </c>
      <c r="AE43" s="26">
        <v>1.7567301053982094</v>
      </c>
      <c r="AF43" s="6"/>
      <c r="AG43" s="24">
        <v>43.2900632739023</v>
      </c>
      <c r="AH43" s="25">
        <v>54.95835595348412</v>
      </c>
      <c r="AI43" s="26">
        <v>52.735438692279395</v>
      </c>
      <c r="AJ43" s="24">
        <v>70.91492216515162</v>
      </c>
      <c r="AK43" s="25">
        <v>83.04723318553563</v>
      </c>
      <c r="AL43" s="26">
        <v>80.82431592433089</v>
      </c>
      <c r="AM43" s="24">
        <v>98.539781056401</v>
      </c>
      <c r="AN43" s="25">
        <v>111.13611041758712</v>
      </c>
      <c r="AO43" s="26">
        <v>108.91319315638238</v>
      </c>
      <c r="AP43" s="6"/>
      <c r="AQ43" s="24">
        <v>147.64756402671532</v>
      </c>
      <c r="AR43" s="25">
        <v>152.2201402431824</v>
      </c>
      <c r="AS43" s="24">
        <v>176.53979640171278</v>
      </c>
      <c r="AT43" s="25">
        <v>185.19281221005292</v>
      </c>
      <c r="AU43" s="24">
        <v>205.43202877671027</v>
      </c>
      <c r="AV43" s="26">
        <v>218.16548417692343</v>
      </c>
      <c r="AW43" s="4"/>
    </row>
    <row r="44" spans="1:49" ht="12.75">
      <c r="A44" s="4"/>
      <c r="B44" s="23">
        <v>2047</v>
      </c>
      <c r="C44" s="24">
        <f t="shared" si="0"/>
        <v>19.49290894460688</v>
      </c>
      <c r="D44" s="25">
        <f aca="true" t="shared" si="4" ref="D44:K44">D43</f>
        <v>13.673996623347326</v>
      </c>
      <c r="E44" s="26">
        <f t="shared" si="4"/>
        <v>12.355928325080106</v>
      </c>
      <c r="F44" s="24">
        <f t="shared" si="4"/>
        <v>20.891544067896923</v>
      </c>
      <c r="G44" s="25">
        <f t="shared" si="4"/>
        <v>14.833993331448342</v>
      </c>
      <c r="H44" s="26">
        <f t="shared" si="4"/>
        <v>13.472085118883394</v>
      </c>
      <c r="I44" s="24">
        <f t="shared" si="4"/>
        <v>22.88101564347839</v>
      </c>
      <c r="J44" s="25">
        <f t="shared" si="4"/>
        <v>16.519455350502195</v>
      </c>
      <c r="K44" s="26">
        <f t="shared" si="4"/>
        <v>15.113463068933347</v>
      </c>
      <c r="L44" s="6"/>
      <c r="M44" s="24">
        <f t="shared" si="2"/>
        <v>3.9235280614140797</v>
      </c>
      <c r="N44" s="25">
        <f aca="true" t="shared" si="5" ref="N44:U44">N43</f>
        <v>2.5191456921584607</v>
      </c>
      <c r="O44" s="26">
        <f t="shared" si="5"/>
        <v>1.9887169938200555</v>
      </c>
      <c r="P44" s="24">
        <f t="shared" si="5"/>
        <v>5.2312688122162685</v>
      </c>
      <c r="Q44" s="25">
        <f t="shared" si="5"/>
        <v>3.737658126033881</v>
      </c>
      <c r="R44" s="26">
        <f t="shared" si="5"/>
        <v>3.2072294276954754</v>
      </c>
      <c r="S44" s="24">
        <f t="shared" si="5"/>
        <v>6.5389219546478135</v>
      </c>
      <c r="T44" s="25">
        <f t="shared" si="5"/>
        <v>4.956170559909303</v>
      </c>
      <c r="U44" s="26">
        <f t="shared" si="5"/>
        <v>4.425741861570897</v>
      </c>
      <c r="V44" s="6"/>
      <c r="W44" s="24">
        <v>3.7304826911275164</v>
      </c>
      <c r="X44" s="25">
        <v>1.493735675796226</v>
      </c>
      <c r="Y44" s="26">
        <v>1.0948163480417843</v>
      </c>
      <c r="Z44" s="24">
        <v>4.070781115966832</v>
      </c>
      <c r="AA44" s="25">
        <v>1.7671994866463578</v>
      </c>
      <c r="AB44" s="26">
        <v>1.3682801588919158</v>
      </c>
      <c r="AC44" s="24">
        <v>5.049424089351734</v>
      </c>
      <c r="AD44" s="25">
        <v>2.1569535559310964</v>
      </c>
      <c r="AE44" s="26">
        <v>1.7580342281766548</v>
      </c>
      <c r="AF44" s="6"/>
      <c r="AG44" s="24">
        <v>43.2900632739023</v>
      </c>
      <c r="AH44" s="25">
        <v>55.131237509311624</v>
      </c>
      <c r="AI44" s="26">
        <v>52.9083202481069</v>
      </c>
      <c r="AJ44" s="24">
        <v>70.91492216515162</v>
      </c>
      <c r="AK44" s="25">
        <v>83.22011474136312</v>
      </c>
      <c r="AL44" s="26">
        <v>80.99719748015839</v>
      </c>
      <c r="AM44" s="24">
        <v>98.539781056401</v>
      </c>
      <c r="AN44" s="25">
        <v>111.30899197341462</v>
      </c>
      <c r="AO44" s="26">
        <v>109.08607471220988</v>
      </c>
      <c r="AP44" s="6"/>
      <c r="AQ44" s="24">
        <v>148.72675463643202</v>
      </c>
      <c r="AR44" s="25">
        <v>153.29933085289912</v>
      </c>
      <c r="AS44" s="24">
        <v>177.6189870114295</v>
      </c>
      <c r="AT44" s="25">
        <v>186.2720028197696</v>
      </c>
      <c r="AU44" s="24">
        <v>206.511219386427</v>
      </c>
      <c r="AV44" s="26">
        <v>219.2446747866401</v>
      </c>
      <c r="AW44" s="4"/>
    </row>
    <row r="45" spans="1:49" ht="12.75">
      <c r="A45" s="4"/>
      <c r="B45" s="23">
        <v>2048</v>
      </c>
      <c r="C45" s="24">
        <f aca="true" t="shared" si="6" ref="C45:K60">C44</f>
        <v>19.49290894460688</v>
      </c>
      <c r="D45" s="25">
        <f t="shared" si="6"/>
        <v>13.673996623347326</v>
      </c>
      <c r="E45" s="26">
        <f t="shared" si="6"/>
        <v>12.355928325080106</v>
      </c>
      <c r="F45" s="24">
        <f t="shared" si="6"/>
        <v>20.891544067896923</v>
      </c>
      <c r="G45" s="25">
        <f t="shared" si="6"/>
        <v>14.833993331448342</v>
      </c>
      <c r="H45" s="26">
        <f t="shared" si="6"/>
        <v>13.472085118883394</v>
      </c>
      <c r="I45" s="24">
        <f t="shared" si="6"/>
        <v>22.88101564347839</v>
      </c>
      <c r="J45" s="25">
        <f t="shared" si="6"/>
        <v>16.519455350502195</v>
      </c>
      <c r="K45" s="26">
        <f t="shared" si="6"/>
        <v>15.113463068933347</v>
      </c>
      <c r="L45" s="6"/>
      <c r="M45" s="24">
        <f aca="true" t="shared" si="7" ref="M45:U60">M44</f>
        <v>3.9235280614140797</v>
      </c>
      <c r="N45" s="25">
        <f t="shared" si="7"/>
        <v>2.5191456921584607</v>
      </c>
      <c r="O45" s="26">
        <f t="shared" si="7"/>
        <v>1.9887169938200555</v>
      </c>
      <c r="P45" s="24">
        <f t="shared" si="7"/>
        <v>5.2312688122162685</v>
      </c>
      <c r="Q45" s="25">
        <f t="shared" si="7"/>
        <v>3.737658126033881</v>
      </c>
      <c r="R45" s="26">
        <f t="shared" si="7"/>
        <v>3.2072294276954754</v>
      </c>
      <c r="S45" s="24">
        <f t="shared" si="7"/>
        <v>6.5389219546478135</v>
      </c>
      <c r="T45" s="25">
        <f t="shared" si="7"/>
        <v>4.956170559909303</v>
      </c>
      <c r="U45" s="26">
        <f t="shared" si="7"/>
        <v>4.425741861570897</v>
      </c>
      <c r="V45" s="6"/>
      <c r="W45" s="24">
        <v>3.7304826911275164</v>
      </c>
      <c r="X45" s="25">
        <v>1.4984029198774083</v>
      </c>
      <c r="Y45" s="26">
        <v>1.0961345073667685</v>
      </c>
      <c r="Z45" s="24">
        <v>4.070781115966832</v>
      </c>
      <c r="AA45" s="25">
        <v>1.7718667307275393</v>
      </c>
      <c r="AB45" s="26">
        <v>1.3695983182169</v>
      </c>
      <c r="AC45" s="24">
        <v>5.049424089351734</v>
      </c>
      <c r="AD45" s="25">
        <v>2.1616208000122787</v>
      </c>
      <c r="AE45" s="26">
        <v>1.759352387501639</v>
      </c>
      <c r="AF45" s="6"/>
      <c r="AG45" s="24">
        <v>43.2900632739023</v>
      </c>
      <c r="AH45" s="25">
        <v>55.30597982552473</v>
      </c>
      <c r="AI45" s="26">
        <v>53.083062564319995</v>
      </c>
      <c r="AJ45" s="24">
        <v>70.91492216515162</v>
      </c>
      <c r="AK45" s="25">
        <v>83.39485705757623</v>
      </c>
      <c r="AL45" s="26">
        <v>81.1719397963715</v>
      </c>
      <c r="AM45" s="24">
        <v>98.539781056401</v>
      </c>
      <c r="AN45" s="25">
        <v>111.48373428962773</v>
      </c>
      <c r="AO45" s="26">
        <v>109.26081702842299</v>
      </c>
      <c r="AP45" s="6"/>
      <c r="AQ45" s="24">
        <v>149.8175608006564</v>
      </c>
      <c r="AR45" s="25">
        <v>154.39013701712352</v>
      </c>
      <c r="AS45" s="24">
        <v>178.70979317565389</v>
      </c>
      <c r="AT45" s="25">
        <v>187.36280898399397</v>
      </c>
      <c r="AU45" s="24">
        <v>207.60202555065132</v>
      </c>
      <c r="AV45" s="26">
        <v>220.3354809508645</v>
      </c>
      <c r="AW45" s="4"/>
    </row>
    <row r="46" spans="1:49" ht="12.75">
      <c r="A46" s="4"/>
      <c r="B46" s="23">
        <v>2049</v>
      </c>
      <c r="C46" s="24">
        <f t="shared" si="6"/>
        <v>19.49290894460688</v>
      </c>
      <c r="D46" s="25">
        <f t="shared" si="6"/>
        <v>13.673996623347326</v>
      </c>
      <c r="E46" s="26">
        <f t="shared" si="6"/>
        <v>12.355928325080106</v>
      </c>
      <c r="F46" s="24">
        <f t="shared" si="6"/>
        <v>20.891544067896923</v>
      </c>
      <c r="G46" s="25">
        <f t="shared" si="6"/>
        <v>14.833993331448342</v>
      </c>
      <c r="H46" s="26">
        <f t="shared" si="6"/>
        <v>13.472085118883394</v>
      </c>
      <c r="I46" s="24">
        <f t="shared" si="6"/>
        <v>22.88101564347839</v>
      </c>
      <c r="J46" s="25">
        <f t="shared" si="6"/>
        <v>16.519455350502195</v>
      </c>
      <c r="K46" s="26">
        <f t="shared" si="6"/>
        <v>15.113463068933347</v>
      </c>
      <c r="L46" s="6"/>
      <c r="M46" s="24">
        <f t="shared" si="7"/>
        <v>3.9235280614140797</v>
      </c>
      <c r="N46" s="25">
        <f t="shared" si="7"/>
        <v>2.5191456921584607</v>
      </c>
      <c r="O46" s="26">
        <f t="shared" si="7"/>
        <v>1.9887169938200555</v>
      </c>
      <c r="P46" s="24">
        <f t="shared" si="7"/>
        <v>5.2312688122162685</v>
      </c>
      <c r="Q46" s="25">
        <f t="shared" si="7"/>
        <v>3.737658126033881</v>
      </c>
      <c r="R46" s="26">
        <f t="shared" si="7"/>
        <v>3.2072294276954754</v>
      </c>
      <c r="S46" s="24">
        <f t="shared" si="7"/>
        <v>6.5389219546478135</v>
      </c>
      <c r="T46" s="25">
        <f t="shared" si="7"/>
        <v>4.956170559909303</v>
      </c>
      <c r="U46" s="26">
        <f t="shared" si="7"/>
        <v>4.425741861570897</v>
      </c>
      <c r="V46" s="6"/>
      <c r="W46" s="24">
        <v>3.7304826911275164</v>
      </c>
      <c r="X46" s="25">
        <v>1.5031203984839259</v>
      </c>
      <c r="Y46" s="26">
        <v>1.0974668543165818</v>
      </c>
      <c r="Z46" s="24">
        <v>4.070781115966832</v>
      </c>
      <c r="AA46" s="25">
        <v>1.7765842093340574</v>
      </c>
      <c r="AB46" s="26">
        <v>1.370930665166713</v>
      </c>
      <c r="AC46" s="24">
        <v>5.049424089351734</v>
      </c>
      <c r="AD46" s="25">
        <v>2.1663382786187966</v>
      </c>
      <c r="AE46" s="26">
        <v>1.760684734451452</v>
      </c>
      <c r="AF46" s="6"/>
      <c r="AG46" s="24">
        <v>43.2900632739023</v>
      </c>
      <c r="AH46" s="25">
        <v>55.48260292987712</v>
      </c>
      <c r="AI46" s="26">
        <v>53.25968566867239</v>
      </c>
      <c r="AJ46" s="24">
        <v>70.91492216515162</v>
      </c>
      <c r="AK46" s="25">
        <v>83.57148016192863</v>
      </c>
      <c r="AL46" s="26">
        <v>81.3485629007239</v>
      </c>
      <c r="AM46" s="24">
        <v>98.539781056401</v>
      </c>
      <c r="AN46" s="25">
        <v>111.66035739398014</v>
      </c>
      <c r="AO46" s="26">
        <v>109.4374401327754</v>
      </c>
      <c r="AP46" s="6"/>
      <c r="AQ46" s="24">
        <v>150.9201075400339</v>
      </c>
      <c r="AR46" s="25">
        <v>155.492683756501</v>
      </c>
      <c r="AS46" s="24">
        <v>179.81233991503137</v>
      </c>
      <c r="AT46" s="25">
        <v>188.46535572337152</v>
      </c>
      <c r="AU46" s="24">
        <v>208.7045722900289</v>
      </c>
      <c r="AV46" s="26">
        <v>221.43802769024205</v>
      </c>
      <c r="AW46" s="4"/>
    </row>
    <row r="47" spans="1:49" ht="12.75">
      <c r="A47" s="4"/>
      <c r="B47" s="23">
        <v>2050</v>
      </c>
      <c r="C47" s="24">
        <f t="shared" si="6"/>
        <v>19.49290894460688</v>
      </c>
      <c r="D47" s="25">
        <f t="shared" si="6"/>
        <v>13.673996623347326</v>
      </c>
      <c r="E47" s="26">
        <f t="shared" si="6"/>
        <v>12.355928325080106</v>
      </c>
      <c r="F47" s="24">
        <f t="shared" si="6"/>
        <v>20.891544067896923</v>
      </c>
      <c r="G47" s="25">
        <f t="shared" si="6"/>
        <v>14.833993331448342</v>
      </c>
      <c r="H47" s="26">
        <f t="shared" si="6"/>
        <v>13.472085118883394</v>
      </c>
      <c r="I47" s="24">
        <f t="shared" si="6"/>
        <v>22.88101564347839</v>
      </c>
      <c r="J47" s="25">
        <f t="shared" si="6"/>
        <v>16.519455350502195</v>
      </c>
      <c r="K47" s="26">
        <f t="shared" si="6"/>
        <v>15.113463068933347</v>
      </c>
      <c r="L47" s="6"/>
      <c r="M47" s="24">
        <f t="shared" si="7"/>
        <v>3.9235280614140797</v>
      </c>
      <c r="N47" s="25">
        <f t="shared" si="7"/>
        <v>2.5191456921584607</v>
      </c>
      <c r="O47" s="26">
        <f t="shared" si="7"/>
        <v>1.9887169938200555</v>
      </c>
      <c r="P47" s="24">
        <f t="shared" si="7"/>
        <v>5.2312688122162685</v>
      </c>
      <c r="Q47" s="25">
        <f t="shared" si="7"/>
        <v>3.737658126033881</v>
      </c>
      <c r="R47" s="26">
        <f t="shared" si="7"/>
        <v>3.2072294276954754</v>
      </c>
      <c r="S47" s="24">
        <f t="shared" si="7"/>
        <v>6.5389219546478135</v>
      </c>
      <c r="T47" s="25">
        <f t="shared" si="7"/>
        <v>4.956170559909303</v>
      </c>
      <c r="U47" s="26">
        <f t="shared" si="7"/>
        <v>4.425741861570897</v>
      </c>
      <c r="V47" s="6"/>
      <c r="W47" s="24">
        <v>3.7304826911275164</v>
      </c>
      <c r="X47" s="25">
        <v>1.5078886523004942</v>
      </c>
      <c r="Y47" s="26">
        <v>1.0988135415956</v>
      </c>
      <c r="Z47" s="24">
        <v>4.070781115966832</v>
      </c>
      <c r="AA47" s="25">
        <v>1.781352463150626</v>
      </c>
      <c r="AB47" s="26">
        <v>1.3722773524457312</v>
      </c>
      <c r="AC47" s="24">
        <v>5.049424089351734</v>
      </c>
      <c r="AD47" s="25">
        <v>2.1711065324353647</v>
      </c>
      <c r="AE47" s="26">
        <v>1.76203142173047</v>
      </c>
      <c r="AF47" s="6"/>
      <c r="AG47" s="24">
        <v>43.2900632739023</v>
      </c>
      <c r="AH47" s="25">
        <v>55.66112706568537</v>
      </c>
      <c r="AI47" s="26">
        <v>53.43820980448064</v>
      </c>
      <c r="AJ47" s="24">
        <v>70.91492216515162</v>
      </c>
      <c r="AK47" s="25">
        <v>83.75000429773687</v>
      </c>
      <c r="AL47" s="26">
        <v>81.52708703653214</v>
      </c>
      <c r="AM47" s="24">
        <v>98.539781056401</v>
      </c>
      <c r="AN47" s="25">
        <v>111.83888152978837</v>
      </c>
      <c r="AO47" s="26">
        <v>109.61596426858362</v>
      </c>
      <c r="AP47" s="6"/>
      <c r="AQ47" s="24">
        <v>152.03452122083328</v>
      </c>
      <c r="AR47" s="25">
        <v>156.60709743730038</v>
      </c>
      <c r="AS47" s="24">
        <v>180.92675359583075</v>
      </c>
      <c r="AT47" s="25">
        <v>189.57976940417086</v>
      </c>
      <c r="AU47" s="24">
        <v>209.8189859708282</v>
      </c>
      <c r="AV47" s="26">
        <v>222.55244137104137</v>
      </c>
      <c r="AW47" s="4"/>
    </row>
    <row r="48" spans="1:49" ht="12.75">
      <c r="A48" s="4"/>
      <c r="B48" s="23">
        <v>2051</v>
      </c>
      <c r="C48" s="24">
        <f t="shared" si="6"/>
        <v>19.49290894460688</v>
      </c>
      <c r="D48" s="25">
        <f t="shared" si="6"/>
        <v>13.673996623347326</v>
      </c>
      <c r="E48" s="26">
        <f t="shared" si="6"/>
        <v>12.355928325080106</v>
      </c>
      <c r="F48" s="24">
        <f t="shared" si="6"/>
        <v>20.891544067896923</v>
      </c>
      <c r="G48" s="25">
        <f t="shared" si="6"/>
        <v>14.833993331448342</v>
      </c>
      <c r="H48" s="26">
        <f t="shared" si="6"/>
        <v>13.472085118883394</v>
      </c>
      <c r="I48" s="24">
        <f t="shared" si="6"/>
        <v>22.88101564347839</v>
      </c>
      <c r="J48" s="25">
        <f t="shared" si="6"/>
        <v>16.519455350502195</v>
      </c>
      <c r="K48" s="26">
        <f t="shared" si="6"/>
        <v>15.113463068933347</v>
      </c>
      <c r="L48" s="6"/>
      <c r="M48" s="24">
        <f t="shared" si="7"/>
        <v>3.9235280614140797</v>
      </c>
      <c r="N48" s="25">
        <f t="shared" si="7"/>
        <v>2.5191456921584607</v>
      </c>
      <c r="O48" s="26">
        <f t="shared" si="7"/>
        <v>1.9887169938200555</v>
      </c>
      <c r="P48" s="24">
        <f t="shared" si="7"/>
        <v>5.2312688122162685</v>
      </c>
      <c r="Q48" s="25">
        <f t="shared" si="7"/>
        <v>3.737658126033881</v>
      </c>
      <c r="R48" s="26">
        <f t="shared" si="7"/>
        <v>3.2072294276954754</v>
      </c>
      <c r="S48" s="24">
        <f t="shared" si="7"/>
        <v>6.5389219546478135</v>
      </c>
      <c r="T48" s="25">
        <f t="shared" si="7"/>
        <v>4.956170559909303</v>
      </c>
      <c r="U48" s="26">
        <f t="shared" si="7"/>
        <v>4.425741861570897</v>
      </c>
      <c r="V48" s="6"/>
      <c r="W48" s="24">
        <v>3.7304826911275164</v>
      </c>
      <c r="X48" s="25">
        <v>1.5127082278313309</v>
      </c>
      <c r="Y48" s="26">
        <v>1.1001747235517896</v>
      </c>
      <c r="Z48" s="24">
        <v>4.070781115966832</v>
      </c>
      <c r="AA48" s="25">
        <v>1.7861720386814621</v>
      </c>
      <c r="AB48" s="26">
        <v>1.373638534401921</v>
      </c>
      <c r="AC48" s="24">
        <v>5.049424089351734</v>
      </c>
      <c r="AD48" s="25">
        <v>2.175926107966201</v>
      </c>
      <c r="AE48" s="26">
        <v>1.7633926036866598</v>
      </c>
      <c r="AF48" s="6"/>
      <c r="AG48" s="24">
        <v>43.2900632739023</v>
      </c>
      <c r="AH48" s="25">
        <v>55.84157269414907</v>
      </c>
      <c r="AI48" s="26">
        <v>53.618655432944344</v>
      </c>
      <c r="AJ48" s="24">
        <v>70.91492216515162</v>
      </c>
      <c r="AK48" s="25">
        <v>83.93044992620058</v>
      </c>
      <c r="AL48" s="26">
        <v>81.70753266499585</v>
      </c>
      <c r="AM48" s="24">
        <v>98.539781056401</v>
      </c>
      <c r="AN48" s="25">
        <v>112.0193271582521</v>
      </c>
      <c r="AO48" s="26">
        <v>109.79640989704735</v>
      </c>
      <c r="AP48" s="6"/>
      <c r="AQ48" s="24">
        <v>153.16092956942987</v>
      </c>
      <c r="AR48" s="25">
        <v>157.733505785897</v>
      </c>
      <c r="AS48" s="24">
        <v>182.0531619444273</v>
      </c>
      <c r="AT48" s="25">
        <v>190.70617775276747</v>
      </c>
      <c r="AU48" s="24">
        <v>210.94539431942488</v>
      </c>
      <c r="AV48" s="26">
        <v>223.678849719638</v>
      </c>
      <c r="AW48" s="4"/>
    </row>
    <row r="49" spans="1:49" ht="12.75">
      <c r="A49" s="4"/>
      <c r="B49" s="23">
        <v>2052</v>
      </c>
      <c r="C49" s="24">
        <f t="shared" si="6"/>
        <v>19.49290894460688</v>
      </c>
      <c r="D49" s="25">
        <f t="shared" si="6"/>
        <v>13.673996623347326</v>
      </c>
      <c r="E49" s="26">
        <f t="shared" si="6"/>
        <v>12.355928325080106</v>
      </c>
      <c r="F49" s="24">
        <f t="shared" si="6"/>
        <v>20.891544067896923</v>
      </c>
      <c r="G49" s="25">
        <f t="shared" si="6"/>
        <v>14.833993331448342</v>
      </c>
      <c r="H49" s="26">
        <f t="shared" si="6"/>
        <v>13.472085118883394</v>
      </c>
      <c r="I49" s="24">
        <f t="shared" si="6"/>
        <v>22.88101564347839</v>
      </c>
      <c r="J49" s="25">
        <f t="shared" si="6"/>
        <v>16.519455350502195</v>
      </c>
      <c r="K49" s="26">
        <f t="shared" si="6"/>
        <v>15.113463068933347</v>
      </c>
      <c r="L49" s="6"/>
      <c r="M49" s="24">
        <f t="shared" si="7"/>
        <v>3.9235280614140797</v>
      </c>
      <c r="N49" s="25">
        <f t="shared" si="7"/>
        <v>2.5191456921584607</v>
      </c>
      <c r="O49" s="26">
        <f t="shared" si="7"/>
        <v>1.9887169938200555</v>
      </c>
      <c r="P49" s="24">
        <f t="shared" si="7"/>
        <v>5.2312688122162685</v>
      </c>
      <c r="Q49" s="25">
        <f t="shared" si="7"/>
        <v>3.737658126033881</v>
      </c>
      <c r="R49" s="26">
        <f t="shared" si="7"/>
        <v>3.2072294276954754</v>
      </c>
      <c r="S49" s="24">
        <f t="shared" si="7"/>
        <v>6.5389219546478135</v>
      </c>
      <c r="T49" s="25">
        <f t="shared" si="7"/>
        <v>4.956170559909303</v>
      </c>
      <c r="U49" s="26">
        <f t="shared" si="7"/>
        <v>4.425741861570897</v>
      </c>
      <c r="V49" s="6"/>
      <c r="W49" s="24">
        <v>3.7304826911275164</v>
      </c>
      <c r="X49" s="25">
        <v>1.5175796774627928</v>
      </c>
      <c r="Y49" s="26">
        <v>1.1015505561943963</v>
      </c>
      <c r="Z49" s="24">
        <v>4.070781115966832</v>
      </c>
      <c r="AA49" s="25">
        <v>1.7910434883129245</v>
      </c>
      <c r="AB49" s="26">
        <v>1.375014367044528</v>
      </c>
      <c r="AC49" s="24">
        <v>5.049424089351734</v>
      </c>
      <c r="AD49" s="25">
        <v>2.1807975575976632</v>
      </c>
      <c r="AE49" s="26">
        <v>1.7647684363292668</v>
      </c>
      <c r="AF49" s="6"/>
      <c r="AG49" s="24">
        <v>43.2900632739023</v>
      </c>
      <c r="AH49" s="25">
        <v>56.023960496696056</v>
      </c>
      <c r="AI49" s="26">
        <v>53.80104323549133</v>
      </c>
      <c r="AJ49" s="24">
        <v>70.91492216515162</v>
      </c>
      <c r="AK49" s="25">
        <v>84.11283772874756</v>
      </c>
      <c r="AL49" s="26">
        <v>81.88992046754282</v>
      </c>
      <c r="AM49" s="24">
        <v>98.539781056401</v>
      </c>
      <c r="AN49" s="25">
        <v>112.20171496079907</v>
      </c>
      <c r="AO49" s="26">
        <v>109.97879769959432</v>
      </c>
      <c r="AP49" s="6"/>
      <c r="AQ49" s="24">
        <v>154.29946168694488</v>
      </c>
      <c r="AR49" s="25">
        <v>158.87203790341198</v>
      </c>
      <c r="AS49" s="24">
        <v>183.19169406194237</v>
      </c>
      <c r="AT49" s="25">
        <v>191.8447098702825</v>
      </c>
      <c r="AU49" s="24">
        <v>212.08392643693986</v>
      </c>
      <c r="AV49" s="26">
        <v>224.81738183715302</v>
      </c>
      <c r="AW49" s="4"/>
    </row>
    <row r="50" spans="1:49" ht="12.75">
      <c r="A50" s="4"/>
      <c r="B50" s="23">
        <v>2053</v>
      </c>
      <c r="C50" s="24">
        <f t="shared" si="6"/>
        <v>19.49290894460688</v>
      </c>
      <c r="D50" s="25">
        <f t="shared" si="6"/>
        <v>13.673996623347326</v>
      </c>
      <c r="E50" s="26">
        <f t="shared" si="6"/>
        <v>12.355928325080106</v>
      </c>
      <c r="F50" s="24">
        <f t="shared" si="6"/>
        <v>20.891544067896923</v>
      </c>
      <c r="G50" s="25">
        <f t="shared" si="6"/>
        <v>14.833993331448342</v>
      </c>
      <c r="H50" s="26">
        <f t="shared" si="6"/>
        <v>13.472085118883394</v>
      </c>
      <c r="I50" s="24">
        <f t="shared" si="6"/>
        <v>22.88101564347839</v>
      </c>
      <c r="J50" s="25">
        <f t="shared" si="6"/>
        <v>16.519455350502195</v>
      </c>
      <c r="K50" s="26">
        <f t="shared" si="6"/>
        <v>15.113463068933347</v>
      </c>
      <c r="L50" s="6"/>
      <c r="M50" s="24">
        <f t="shared" si="7"/>
        <v>3.9235280614140797</v>
      </c>
      <c r="N50" s="25">
        <f t="shared" si="7"/>
        <v>2.5191456921584607</v>
      </c>
      <c r="O50" s="26">
        <f t="shared" si="7"/>
        <v>1.9887169938200555</v>
      </c>
      <c r="P50" s="24">
        <f t="shared" si="7"/>
        <v>5.2312688122162685</v>
      </c>
      <c r="Q50" s="25">
        <f t="shared" si="7"/>
        <v>3.737658126033881</v>
      </c>
      <c r="R50" s="26">
        <f t="shared" si="7"/>
        <v>3.2072294276954754</v>
      </c>
      <c r="S50" s="24">
        <f t="shared" si="7"/>
        <v>6.5389219546478135</v>
      </c>
      <c r="T50" s="25">
        <f t="shared" si="7"/>
        <v>4.956170559909303</v>
      </c>
      <c r="U50" s="26">
        <f t="shared" si="7"/>
        <v>4.425741861570897</v>
      </c>
      <c r="V50" s="6"/>
      <c r="W50" s="24">
        <v>3.7304826911275164</v>
      </c>
      <c r="X50" s="25">
        <v>1.5225035595266876</v>
      </c>
      <c r="Y50" s="26">
        <v>1.1029411972118257</v>
      </c>
      <c r="Z50" s="24">
        <v>4.070781115966832</v>
      </c>
      <c r="AA50" s="25">
        <v>1.795967370376819</v>
      </c>
      <c r="AB50" s="26">
        <v>1.376405008061957</v>
      </c>
      <c r="AC50" s="24">
        <v>5.049424089351734</v>
      </c>
      <c r="AD50" s="25">
        <v>2.185721439661558</v>
      </c>
      <c r="AE50" s="26">
        <v>1.766159077346696</v>
      </c>
      <c r="AF50" s="6"/>
      <c r="AG50" s="24">
        <v>43.2900632739023</v>
      </c>
      <c r="AH50" s="25">
        <v>56.208311377352636</v>
      </c>
      <c r="AI50" s="26">
        <v>53.9853941161479</v>
      </c>
      <c r="AJ50" s="24">
        <v>70.91492216515162</v>
      </c>
      <c r="AK50" s="25">
        <v>84.29718860940415</v>
      </c>
      <c r="AL50" s="26">
        <v>82.07427134819942</v>
      </c>
      <c r="AM50" s="24">
        <v>98.539781056401</v>
      </c>
      <c r="AN50" s="25">
        <v>112.38606584145565</v>
      </c>
      <c r="AO50" s="26">
        <v>110.1631485802509</v>
      </c>
      <c r="AP50" s="6"/>
      <c r="AQ50" s="24">
        <v>155.45024806404174</v>
      </c>
      <c r="AR50" s="25">
        <v>160.02282428050884</v>
      </c>
      <c r="AS50" s="24">
        <v>184.3424804390392</v>
      </c>
      <c r="AT50" s="25">
        <v>192.9954962473793</v>
      </c>
      <c r="AU50" s="24">
        <v>213.23471281403667</v>
      </c>
      <c r="AV50" s="26">
        <v>225.96816821424983</v>
      </c>
      <c r="AW50" s="4"/>
    </row>
    <row r="51" spans="1:49" ht="12.75">
      <c r="A51" s="4"/>
      <c r="B51" s="23">
        <v>2054</v>
      </c>
      <c r="C51" s="24">
        <f t="shared" si="6"/>
        <v>19.49290894460688</v>
      </c>
      <c r="D51" s="25">
        <f t="shared" si="6"/>
        <v>13.673996623347326</v>
      </c>
      <c r="E51" s="26">
        <f t="shared" si="6"/>
        <v>12.355928325080106</v>
      </c>
      <c r="F51" s="24">
        <f t="shared" si="6"/>
        <v>20.891544067896923</v>
      </c>
      <c r="G51" s="25">
        <f t="shared" si="6"/>
        <v>14.833993331448342</v>
      </c>
      <c r="H51" s="26">
        <f t="shared" si="6"/>
        <v>13.472085118883394</v>
      </c>
      <c r="I51" s="24">
        <f t="shared" si="6"/>
        <v>22.88101564347839</v>
      </c>
      <c r="J51" s="25">
        <f t="shared" si="6"/>
        <v>16.519455350502195</v>
      </c>
      <c r="K51" s="26">
        <f t="shared" si="6"/>
        <v>15.113463068933347</v>
      </c>
      <c r="L51" s="6"/>
      <c r="M51" s="24">
        <f t="shared" si="7"/>
        <v>3.9235280614140797</v>
      </c>
      <c r="N51" s="25">
        <f t="shared" si="7"/>
        <v>2.5191456921584607</v>
      </c>
      <c r="O51" s="26">
        <f t="shared" si="7"/>
        <v>1.9887169938200555</v>
      </c>
      <c r="P51" s="24">
        <f t="shared" si="7"/>
        <v>5.2312688122162685</v>
      </c>
      <c r="Q51" s="25">
        <f t="shared" si="7"/>
        <v>3.737658126033881</v>
      </c>
      <c r="R51" s="26">
        <f t="shared" si="7"/>
        <v>3.2072294276954754</v>
      </c>
      <c r="S51" s="24">
        <f t="shared" si="7"/>
        <v>6.5389219546478135</v>
      </c>
      <c r="T51" s="25">
        <f t="shared" si="7"/>
        <v>4.956170559909303</v>
      </c>
      <c r="U51" s="26">
        <f t="shared" si="7"/>
        <v>4.425741861570897</v>
      </c>
      <c r="V51" s="6"/>
      <c r="W51" s="24">
        <v>3.7304826911275164</v>
      </c>
      <c r="X51" s="25">
        <v>1.5274804383642642</v>
      </c>
      <c r="Y51" s="26">
        <v>1.1043468059897166</v>
      </c>
      <c r="Z51" s="24">
        <v>4.070781115966832</v>
      </c>
      <c r="AA51" s="25">
        <v>1.8009442492143954</v>
      </c>
      <c r="AB51" s="26">
        <v>1.377810616839848</v>
      </c>
      <c r="AC51" s="24">
        <v>5.049424089351734</v>
      </c>
      <c r="AD51" s="25">
        <v>2.1906983184991344</v>
      </c>
      <c r="AE51" s="26">
        <v>1.767564686124587</v>
      </c>
      <c r="AF51" s="6"/>
      <c r="AG51" s="24">
        <v>43.2900632739023</v>
      </c>
      <c r="AH51" s="25">
        <v>56.394646465139566</v>
      </c>
      <c r="AI51" s="26">
        <v>54.17172920393484</v>
      </c>
      <c r="AJ51" s="24">
        <v>70.91492216515162</v>
      </c>
      <c r="AK51" s="25">
        <v>84.48352369719109</v>
      </c>
      <c r="AL51" s="26">
        <v>82.26060643598635</v>
      </c>
      <c r="AM51" s="24">
        <v>98.539781056401</v>
      </c>
      <c r="AN51" s="25">
        <v>112.57240092924259</v>
      </c>
      <c r="AO51" s="26">
        <v>110.34948366803785</v>
      </c>
      <c r="AP51" s="6"/>
      <c r="AQ51" s="24">
        <v>156.61342059588225</v>
      </c>
      <c r="AR51" s="25">
        <v>161.18599681234937</v>
      </c>
      <c r="AS51" s="24">
        <v>185.50565297087974</v>
      </c>
      <c r="AT51" s="25">
        <v>194.15866877921985</v>
      </c>
      <c r="AU51" s="24">
        <v>214.39788534587723</v>
      </c>
      <c r="AV51" s="26">
        <v>227.1313407460904</v>
      </c>
      <c r="AW51" s="4"/>
    </row>
    <row r="52" spans="1:49" ht="12.75">
      <c r="A52" s="4"/>
      <c r="B52" s="23">
        <v>2055</v>
      </c>
      <c r="C52" s="24">
        <f t="shared" si="6"/>
        <v>19.49290894460688</v>
      </c>
      <c r="D52" s="25">
        <f t="shared" si="6"/>
        <v>13.673996623347326</v>
      </c>
      <c r="E52" s="26">
        <f t="shared" si="6"/>
        <v>12.355928325080106</v>
      </c>
      <c r="F52" s="24">
        <f t="shared" si="6"/>
        <v>20.891544067896923</v>
      </c>
      <c r="G52" s="25">
        <f t="shared" si="6"/>
        <v>14.833993331448342</v>
      </c>
      <c r="H52" s="26">
        <f t="shared" si="6"/>
        <v>13.472085118883394</v>
      </c>
      <c r="I52" s="24">
        <f t="shared" si="6"/>
        <v>22.88101564347839</v>
      </c>
      <c r="J52" s="25">
        <f t="shared" si="6"/>
        <v>16.519455350502195</v>
      </c>
      <c r="K52" s="26">
        <f t="shared" si="6"/>
        <v>15.113463068933347</v>
      </c>
      <c r="L52" s="6"/>
      <c r="M52" s="24">
        <f t="shared" si="7"/>
        <v>3.9235280614140797</v>
      </c>
      <c r="N52" s="25">
        <f t="shared" si="7"/>
        <v>2.5191456921584607</v>
      </c>
      <c r="O52" s="26">
        <f t="shared" si="7"/>
        <v>1.9887169938200555</v>
      </c>
      <c r="P52" s="24">
        <f t="shared" si="7"/>
        <v>5.2312688122162685</v>
      </c>
      <c r="Q52" s="25">
        <f t="shared" si="7"/>
        <v>3.737658126033881</v>
      </c>
      <c r="R52" s="26">
        <f t="shared" si="7"/>
        <v>3.2072294276954754</v>
      </c>
      <c r="S52" s="24">
        <f t="shared" si="7"/>
        <v>6.5389219546478135</v>
      </c>
      <c r="T52" s="25">
        <f t="shared" si="7"/>
        <v>4.956170559909303</v>
      </c>
      <c r="U52" s="26">
        <f t="shared" si="7"/>
        <v>4.425741861570897</v>
      </c>
      <c r="V52" s="6"/>
      <c r="W52" s="24">
        <v>3.7304826911275164</v>
      </c>
      <c r="X52" s="25">
        <v>1.532510884390895</v>
      </c>
      <c r="Y52" s="26">
        <v>1.1057675436292091</v>
      </c>
      <c r="Z52" s="24">
        <v>4.070781115966832</v>
      </c>
      <c r="AA52" s="25">
        <v>1.8059746952410265</v>
      </c>
      <c r="AB52" s="26">
        <v>1.3792313544793402</v>
      </c>
      <c r="AC52" s="24">
        <v>5.049424089351734</v>
      </c>
      <c r="AD52" s="25">
        <v>2.1957287645257653</v>
      </c>
      <c r="AE52" s="26">
        <v>1.768985423764079</v>
      </c>
      <c r="AF52" s="6"/>
      <c r="AG52" s="24">
        <v>43.2900632739023</v>
      </c>
      <c r="AH52" s="25">
        <v>56.58298711649369</v>
      </c>
      <c r="AI52" s="26">
        <v>54.360069855288955</v>
      </c>
      <c r="AJ52" s="24">
        <v>70.91492216515162</v>
      </c>
      <c r="AK52" s="25">
        <v>84.6718643485452</v>
      </c>
      <c r="AL52" s="26">
        <v>82.44894708734046</v>
      </c>
      <c r="AM52" s="24">
        <v>98.539781056401</v>
      </c>
      <c r="AN52" s="25">
        <v>112.7607415805967</v>
      </c>
      <c r="AO52" s="26">
        <v>110.53782431939196</v>
      </c>
      <c r="AP52" s="6"/>
      <c r="AQ52" s="24">
        <v>157.78911259724362</v>
      </c>
      <c r="AR52" s="25">
        <v>162.3616888137107</v>
      </c>
      <c r="AS52" s="24">
        <v>186.6813449722411</v>
      </c>
      <c r="AT52" s="25">
        <v>195.33436078058116</v>
      </c>
      <c r="AU52" s="24">
        <v>215.57357734723854</v>
      </c>
      <c r="AV52" s="26">
        <v>228.30703274745173</v>
      </c>
      <c r="AW52" s="4"/>
    </row>
    <row r="53" spans="1:49" ht="12.75">
      <c r="A53" s="4"/>
      <c r="B53" s="23">
        <v>2056</v>
      </c>
      <c r="C53" s="24">
        <f t="shared" si="6"/>
        <v>19.49290894460688</v>
      </c>
      <c r="D53" s="25">
        <f t="shared" si="6"/>
        <v>13.673996623347326</v>
      </c>
      <c r="E53" s="26">
        <f t="shared" si="6"/>
        <v>12.355928325080106</v>
      </c>
      <c r="F53" s="24">
        <f t="shared" si="6"/>
        <v>20.891544067896923</v>
      </c>
      <c r="G53" s="25">
        <f t="shared" si="6"/>
        <v>14.833993331448342</v>
      </c>
      <c r="H53" s="26">
        <f t="shared" si="6"/>
        <v>13.472085118883394</v>
      </c>
      <c r="I53" s="24">
        <f t="shared" si="6"/>
        <v>22.88101564347839</v>
      </c>
      <c r="J53" s="25">
        <f t="shared" si="6"/>
        <v>16.519455350502195</v>
      </c>
      <c r="K53" s="26">
        <f t="shared" si="6"/>
        <v>15.113463068933347</v>
      </c>
      <c r="L53" s="6"/>
      <c r="M53" s="24">
        <f t="shared" si="7"/>
        <v>3.9235280614140797</v>
      </c>
      <c r="N53" s="25">
        <f t="shared" si="7"/>
        <v>2.5191456921584607</v>
      </c>
      <c r="O53" s="26">
        <f t="shared" si="7"/>
        <v>1.9887169938200555</v>
      </c>
      <c r="P53" s="24">
        <f t="shared" si="7"/>
        <v>5.2312688122162685</v>
      </c>
      <c r="Q53" s="25">
        <f t="shared" si="7"/>
        <v>3.737658126033881</v>
      </c>
      <c r="R53" s="26">
        <f t="shared" si="7"/>
        <v>3.2072294276954754</v>
      </c>
      <c r="S53" s="24">
        <f t="shared" si="7"/>
        <v>6.5389219546478135</v>
      </c>
      <c r="T53" s="25">
        <f t="shared" si="7"/>
        <v>4.956170559909303</v>
      </c>
      <c r="U53" s="26">
        <f t="shared" si="7"/>
        <v>4.425741861570897</v>
      </c>
      <c r="V53" s="6"/>
      <c r="W53" s="24">
        <v>3.7304826911275164</v>
      </c>
      <c r="X53" s="25">
        <v>1.537595474161452</v>
      </c>
      <c r="Y53" s="26">
        <v>1.1072035729654082</v>
      </c>
      <c r="Z53" s="24">
        <v>4.070781115966832</v>
      </c>
      <c r="AA53" s="25">
        <v>1.8110592850115834</v>
      </c>
      <c r="AB53" s="26">
        <v>1.3806673838155397</v>
      </c>
      <c r="AC53" s="24">
        <v>5.049424089351734</v>
      </c>
      <c r="AD53" s="25">
        <v>2.2008133542963226</v>
      </c>
      <c r="AE53" s="26">
        <v>1.7704214531002784</v>
      </c>
      <c r="AF53" s="6"/>
      <c r="AG53" s="24">
        <v>43.2900632739023</v>
      </c>
      <c r="AH53" s="25">
        <v>56.77335491771561</v>
      </c>
      <c r="AI53" s="26">
        <v>54.55043765651088</v>
      </c>
      <c r="AJ53" s="24">
        <v>70.91492216515162</v>
      </c>
      <c r="AK53" s="25">
        <v>84.86223214976711</v>
      </c>
      <c r="AL53" s="26">
        <v>82.63931488856238</v>
      </c>
      <c r="AM53" s="24">
        <v>98.539781056401</v>
      </c>
      <c r="AN53" s="25">
        <v>112.95110938181863</v>
      </c>
      <c r="AO53" s="26">
        <v>110.72819212061388</v>
      </c>
      <c r="AP53" s="6"/>
      <c r="AQ53" s="24">
        <v>158.9774588177977</v>
      </c>
      <c r="AR53" s="25">
        <v>163.5500350342648</v>
      </c>
      <c r="AS53" s="24">
        <v>187.86969119279513</v>
      </c>
      <c r="AT53" s="25">
        <v>196.52270700113525</v>
      </c>
      <c r="AU53" s="24">
        <v>216.76192356779262</v>
      </c>
      <c r="AV53" s="26">
        <v>229.49537896800578</v>
      </c>
      <c r="AW53" s="4"/>
    </row>
    <row r="54" spans="1:49" ht="12.75">
      <c r="A54" s="4"/>
      <c r="B54" s="23">
        <v>2057</v>
      </c>
      <c r="C54" s="24">
        <f t="shared" si="6"/>
        <v>19.49290894460688</v>
      </c>
      <c r="D54" s="25">
        <f t="shared" si="6"/>
        <v>13.673996623347326</v>
      </c>
      <c r="E54" s="26">
        <f t="shared" si="6"/>
        <v>12.355928325080106</v>
      </c>
      <c r="F54" s="24">
        <f t="shared" si="6"/>
        <v>20.891544067896923</v>
      </c>
      <c r="G54" s="25">
        <f t="shared" si="6"/>
        <v>14.833993331448342</v>
      </c>
      <c r="H54" s="26">
        <f t="shared" si="6"/>
        <v>13.472085118883394</v>
      </c>
      <c r="I54" s="24">
        <f t="shared" si="6"/>
        <v>22.88101564347839</v>
      </c>
      <c r="J54" s="25">
        <f t="shared" si="6"/>
        <v>16.519455350502195</v>
      </c>
      <c r="K54" s="26">
        <f t="shared" si="6"/>
        <v>15.113463068933347</v>
      </c>
      <c r="L54" s="6"/>
      <c r="M54" s="24">
        <f t="shared" si="7"/>
        <v>3.9235280614140797</v>
      </c>
      <c r="N54" s="25">
        <f t="shared" si="7"/>
        <v>2.5191456921584607</v>
      </c>
      <c r="O54" s="26">
        <f t="shared" si="7"/>
        <v>1.9887169938200555</v>
      </c>
      <c r="P54" s="24">
        <f t="shared" si="7"/>
        <v>5.2312688122162685</v>
      </c>
      <c r="Q54" s="25">
        <f t="shared" si="7"/>
        <v>3.737658126033881</v>
      </c>
      <c r="R54" s="26">
        <f t="shared" si="7"/>
        <v>3.2072294276954754</v>
      </c>
      <c r="S54" s="24">
        <f t="shared" si="7"/>
        <v>6.5389219546478135</v>
      </c>
      <c r="T54" s="25">
        <f t="shared" si="7"/>
        <v>4.956170559909303</v>
      </c>
      <c r="U54" s="26">
        <f t="shared" si="7"/>
        <v>4.425741861570897</v>
      </c>
      <c r="V54" s="6"/>
      <c r="W54" s="24">
        <v>3.7304826911275164</v>
      </c>
      <c r="X54" s="25">
        <v>1.542734790436389</v>
      </c>
      <c r="Y54" s="26">
        <v>1.108655058586048</v>
      </c>
      <c r="Z54" s="24">
        <v>4.070781115966832</v>
      </c>
      <c r="AA54" s="25">
        <v>1.8161986012865206</v>
      </c>
      <c r="AB54" s="26">
        <v>1.3821188694361795</v>
      </c>
      <c r="AC54" s="24">
        <v>5.049424089351734</v>
      </c>
      <c r="AD54" s="25">
        <v>2.2059526705712598</v>
      </c>
      <c r="AE54" s="26">
        <v>1.771872938720918</v>
      </c>
      <c r="AF54" s="6"/>
      <c r="AG54" s="24">
        <v>43.2900632739023</v>
      </c>
      <c r="AH54" s="25">
        <v>56.965771687443834</v>
      </c>
      <c r="AI54" s="26">
        <v>54.7428544262391</v>
      </c>
      <c r="AJ54" s="24">
        <v>70.91492216515162</v>
      </c>
      <c r="AK54" s="25">
        <v>85.05464891949534</v>
      </c>
      <c r="AL54" s="26">
        <v>82.83173165829061</v>
      </c>
      <c r="AM54" s="24">
        <v>98.539781056401</v>
      </c>
      <c r="AN54" s="25">
        <v>113.14352615154685</v>
      </c>
      <c r="AO54" s="26">
        <v>110.92060889034211</v>
      </c>
      <c r="AP54" s="6"/>
      <c r="AQ54" s="24">
        <v>160.1785954575554</v>
      </c>
      <c r="AR54" s="25">
        <v>164.7511716740225</v>
      </c>
      <c r="AS54" s="24">
        <v>189.07082783255285</v>
      </c>
      <c r="AT54" s="25">
        <v>197.72384364089297</v>
      </c>
      <c r="AU54" s="24">
        <v>217.96306020755034</v>
      </c>
      <c r="AV54" s="26">
        <v>230.6965156077635</v>
      </c>
      <c r="AW54" s="4"/>
    </row>
    <row r="55" spans="1:49" ht="12.75">
      <c r="A55" s="4"/>
      <c r="B55" s="23">
        <v>2058</v>
      </c>
      <c r="C55" s="24">
        <f t="shared" si="6"/>
        <v>19.49290894460688</v>
      </c>
      <c r="D55" s="25">
        <f t="shared" si="6"/>
        <v>13.673996623347326</v>
      </c>
      <c r="E55" s="26">
        <f t="shared" si="6"/>
        <v>12.355928325080106</v>
      </c>
      <c r="F55" s="24">
        <f t="shared" si="6"/>
        <v>20.891544067896923</v>
      </c>
      <c r="G55" s="25">
        <f t="shared" si="6"/>
        <v>14.833993331448342</v>
      </c>
      <c r="H55" s="26">
        <f t="shared" si="6"/>
        <v>13.472085118883394</v>
      </c>
      <c r="I55" s="24">
        <f t="shared" si="6"/>
        <v>22.88101564347839</v>
      </c>
      <c r="J55" s="25">
        <f t="shared" si="6"/>
        <v>16.519455350502195</v>
      </c>
      <c r="K55" s="26">
        <f t="shared" si="6"/>
        <v>15.113463068933347</v>
      </c>
      <c r="L55" s="6"/>
      <c r="M55" s="24">
        <f t="shared" si="7"/>
        <v>3.9235280614140797</v>
      </c>
      <c r="N55" s="25">
        <f t="shared" si="7"/>
        <v>2.5191456921584607</v>
      </c>
      <c r="O55" s="26">
        <f t="shared" si="7"/>
        <v>1.9887169938200555</v>
      </c>
      <c r="P55" s="24">
        <f t="shared" si="7"/>
        <v>5.2312688122162685</v>
      </c>
      <c r="Q55" s="25">
        <f t="shared" si="7"/>
        <v>3.737658126033881</v>
      </c>
      <c r="R55" s="26">
        <f t="shared" si="7"/>
        <v>3.2072294276954754</v>
      </c>
      <c r="S55" s="24">
        <f t="shared" si="7"/>
        <v>6.5389219546478135</v>
      </c>
      <c r="T55" s="25">
        <f t="shared" si="7"/>
        <v>4.956170559909303</v>
      </c>
      <c r="U55" s="26">
        <f t="shared" si="7"/>
        <v>4.425741861570897</v>
      </c>
      <c r="V55" s="6"/>
      <c r="W55" s="24">
        <v>3.7304826911275164</v>
      </c>
      <c r="X55" s="25">
        <v>1.547929422248532</v>
      </c>
      <c r="Y55" s="26">
        <v>1.1101221668503543</v>
      </c>
      <c r="Z55" s="24">
        <v>4.070781115966832</v>
      </c>
      <c r="AA55" s="25">
        <v>1.8213932330986635</v>
      </c>
      <c r="AB55" s="26">
        <v>1.3835859777004855</v>
      </c>
      <c r="AC55" s="24">
        <v>5.049424089351734</v>
      </c>
      <c r="AD55" s="25">
        <v>2.2111473023834023</v>
      </c>
      <c r="AE55" s="26">
        <v>1.7733400469852243</v>
      </c>
      <c r="AF55" s="6"/>
      <c r="AG55" s="24">
        <v>43.2900632739023</v>
      </c>
      <c r="AH55" s="25">
        <v>57.160259479155435</v>
      </c>
      <c r="AI55" s="26">
        <v>54.9373422179507</v>
      </c>
      <c r="AJ55" s="24">
        <v>70.91492216515162</v>
      </c>
      <c r="AK55" s="25">
        <v>85.24913671120693</v>
      </c>
      <c r="AL55" s="26">
        <v>83.0262194500022</v>
      </c>
      <c r="AM55" s="24">
        <v>98.539781056401</v>
      </c>
      <c r="AN55" s="25">
        <v>113.33801394325845</v>
      </c>
      <c r="AO55" s="26">
        <v>111.11509668205369</v>
      </c>
      <c r="AP55" s="6"/>
      <c r="AQ55" s="24">
        <v>161.3926601824768</v>
      </c>
      <c r="AR55" s="25">
        <v>165.9652363989439</v>
      </c>
      <c r="AS55" s="24">
        <v>190.28489255747425</v>
      </c>
      <c r="AT55" s="25">
        <v>198.93790836581437</v>
      </c>
      <c r="AU55" s="24">
        <v>219.17712493247168</v>
      </c>
      <c r="AV55" s="26">
        <v>231.91058033268487</v>
      </c>
      <c r="AW55" s="4"/>
    </row>
    <row r="56" spans="1:49" ht="12.75">
      <c r="A56" s="4"/>
      <c r="B56" s="23">
        <v>2059</v>
      </c>
      <c r="C56" s="24">
        <f t="shared" si="6"/>
        <v>19.49290894460688</v>
      </c>
      <c r="D56" s="25">
        <f t="shared" si="6"/>
        <v>13.673996623347326</v>
      </c>
      <c r="E56" s="26">
        <f t="shared" si="6"/>
        <v>12.355928325080106</v>
      </c>
      <c r="F56" s="24">
        <f t="shared" si="6"/>
        <v>20.891544067896923</v>
      </c>
      <c r="G56" s="25">
        <f t="shared" si="6"/>
        <v>14.833993331448342</v>
      </c>
      <c r="H56" s="26">
        <f t="shared" si="6"/>
        <v>13.472085118883394</v>
      </c>
      <c r="I56" s="24">
        <f t="shared" si="6"/>
        <v>22.88101564347839</v>
      </c>
      <c r="J56" s="25">
        <f t="shared" si="6"/>
        <v>16.519455350502195</v>
      </c>
      <c r="K56" s="26">
        <f t="shared" si="6"/>
        <v>15.113463068933347</v>
      </c>
      <c r="L56" s="6"/>
      <c r="M56" s="24">
        <f t="shared" si="7"/>
        <v>3.9235280614140797</v>
      </c>
      <c r="N56" s="25">
        <f t="shared" si="7"/>
        <v>2.5191456921584607</v>
      </c>
      <c r="O56" s="26">
        <f t="shared" si="7"/>
        <v>1.9887169938200555</v>
      </c>
      <c r="P56" s="24">
        <f t="shared" si="7"/>
        <v>5.2312688122162685</v>
      </c>
      <c r="Q56" s="25">
        <f t="shared" si="7"/>
        <v>3.737658126033881</v>
      </c>
      <c r="R56" s="26">
        <f t="shared" si="7"/>
        <v>3.2072294276954754</v>
      </c>
      <c r="S56" s="24">
        <f t="shared" si="7"/>
        <v>6.5389219546478135</v>
      </c>
      <c r="T56" s="25">
        <f t="shared" si="7"/>
        <v>4.956170559909303</v>
      </c>
      <c r="U56" s="26">
        <f t="shared" si="7"/>
        <v>4.425741861570897</v>
      </c>
      <c r="V56" s="6"/>
      <c r="W56" s="24">
        <v>3.7304826911275164</v>
      </c>
      <c r="X56" s="25">
        <v>1.55317996497059</v>
      </c>
      <c r="Y56" s="26">
        <v>1.1116050659081118</v>
      </c>
      <c r="Z56" s="24">
        <v>4.070781115966832</v>
      </c>
      <c r="AA56" s="25">
        <v>1.8266437758207215</v>
      </c>
      <c r="AB56" s="26">
        <v>1.3850688767582433</v>
      </c>
      <c r="AC56" s="24">
        <v>5.049424089351734</v>
      </c>
      <c r="AD56" s="25">
        <v>2.216397845105461</v>
      </c>
      <c r="AE56" s="26">
        <v>1.774822946042982</v>
      </c>
      <c r="AF56" s="6"/>
      <c r="AG56" s="24">
        <v>43.2900632739023</v>
      </c>
      <c r="AH56" s="25">
        <v>57.356840583693675</v>
      </c>
      <c r="AI56" s="26">
        <v>55.13392332248894</v>
      </c>
      <c r="AJ56" s="24">
        <v>70.91492216515162</v>
      </c>
      <c r="AK56" s="25">
        <v>85.44571781574518</v>
      </c>
      <c r="AL56" s="26">
        <v>83.22280055454046</v>
      </c>
      <c r="AM56" s="24">
        <v>98.539781056401</v>
      </c>
      <c r="AN56" s="25">
        <v>113.53459504779669</v>
      </c>
      <c r="AO56" s="26">
        <v>111.31167778659194</v>
      </c>
      <c r="AP56" s="6"/>
      <c r="AQ56" s="24">
        <v>162.61979214024956</v>
      </c>
      <c r="AR56" s="25">
        <v>167.1923683567167</v>
      </c>
      <c r="AS56" s="24">
        <v>191.5120245152471</v>
      </c>
      <c r="AT56" s="25">
        <v>200.16504032358722</v>
      </c>
      <c r="AU56" s="24">
        <v>220.40425689024457</v>
      </c>
      <c r="AV56" s="26">
        <v>233.13771229045773</v>
      </c>
      <c r="AW56" s="4"/>
    </row>
    <row r="57" spans="1:49" ht="12.75">
      <c r="A57" s="4"/>
      <c r="B57" s="23">
        <v>2060</v>
      </c>
      <c r="C57" s="24">
        <f t="shared" si="6"/>
        <v>19.49290894460688</v>
      </c>
      <c r="D57" s="25">
        <f t="shared" si="6"/>
        <v>13.673996623347326</v>
      </c>
      <c r="E57" s="26">
        <f t="shared" si="6"/>
        <v>12.355928325080106</v>
      </c>
      <c r="F57" s="24">
        <f t="shared" si="6"/>
        <v>20.891544067896923</v>
      </c>
      <c r="G57" s="25">
        <f t="shared" si="6"/>
        <v>14.833993331448342</v>
      </c>
      <c r="H57" s="26">
        <f t="shared" si="6"/>
        <v>13.472085118883394</v>
      </c>
      <c r="I57" s="24">
        <f t="shared" si="6"/>
        <v>22.88101564347839</v>
      </c>
      <c r="J57" s="25">
        <f t="shared" si="6"/>
        <v>16.519455350502195</v>
      </c>
      <c r="K57" s="26">
        <f t="shared" si="6"/>
        <v>15.113463068933347</v>
      </c>
      <c r="L57" s="6"/>
      <c r="M57" s="24">
        <f t="shared" si="7"/>
        <v>3.9235280614140797</v>
      </c>
      <c r="N57" s="25">
        <f t="shared" si="7"/>
        <v>2.5191456921584607</v>
      </c>
      <c r="O57" s="26">
        <f t="shared" si="7"/>
        <v>1.9887169938200555</v>
      </c>
      <c r="P57" s="24">
        <f t="shared" si="7"/>
        <v>5.2312688122162685</v>
      </c>
      <c r="Q57" s="25">
        <f t="shared" si="7"/>
        <v>3.737658126033881</v>
      </c>
      <c r="R57" s="26">
        <f t="shared" si="7"/>
        <v>3.2072294276954754</v>
      </c>
      <c r="S57" s="24">
        <f t="shared" si="7"/>
        <v>6.5389219546478135</v>
      </c>
      <c r="T57" s="25">
        <f t="shared" si="7"/>
        <v>4.956170559909303</v>
      </c>
      <c r="U57" s="26">
        <f t="shared" si="7"/>
        <v>4.425741861570897</v>
      </c>
      <c r="V57" s="6"/>
      <c r="W57" s="24">
        <v>3.7304826911275164</v>
      </c>
      <c r="X57" s="25">
        <v>1.5584870203833945</v>
      </c>
      <c r="Y57" s="26">
        <v>1.1131039257189372</v>
      </c>
      <c r="Z57" s="24">
        <v>4.070781115966832</v>
      </c>
      <c r="AA57" s="25">
        <v>1.8319508312335258</v>
      </c>
      <c r="AB57" s="26">
        <v>1.3865677365690687</v>
      </c>
      <c r="AC57" s="24">
        <v>5.049424089351734</v>
      </c>
      <c r="AD57" s="25">
        <v>2.221704900518265</v>
      </c>
      <c r="AE57" s="26">
        <v>1.7763218058538075</v>
      </c>
      <c r="AF57" s="6"/>
      <c r="AG57" s="24">
        <v>43.2900632739023</v>
      </c>
      <c r="AH57" s="25">
        <v>57.55553753182283</v>
      </c>
      <c r="AI57" s="26">
        <v>55.3326202706181</v>
      </c>
      <c r="AJ57" s="24">
        <v>70.91492216515162</v>
      </c>
      <c r="AK57" s="25">
        <v>85.64441476387434</v>
      </c>
      <c r="AL57" s="26">
        <v>83.4214975026696</v>
      </c>
      <c r="AM57" s="24">
        <v>98.539781056401</v>
      </c>
      <c r="AN57" s="25">
        <v>113.73329199592585</v>
      </c>
      <c r="AO57" s="26">
        <v>111.51037473472111</v>
      </c>
      <c r="AP57" s="6"/>
      <c r="AQ57" s="24">
        <v>163.8601319762372</v>
      </c>
      <c r="AR57" s="25">
        <v>168.4327081927043</v>
      </c>
      <c r="AS57" s="24">
        <v>192.75236435123466</v>
      </c>
      <c r="AT57" s="25">
        <v>201.4053801595748</v>
      </c>
      <c r="AU57" s="24">
        <v>221.64459672623215</v>
      </c>
      <c r="AV57" s="26">
        <v>234.3780521264453</v>
      </c>
      <c r="AW57" s="4"/>
    </row>
    <row r="58" spans="1:49" ht="12.75">
      <c r="A58" s="4"/>
      <c r="B58" s="23">
        <v>2061</v>
      </c>
      <c r="C58" s="24">
        <f t="shared" si="6"/>
        <v>19.49290894460688</v>
      </c>
      <c r="D58" s="25">
        <f t="shared" si="6"/>
        <v>13.673996623347326</v>
      </c>
      <c r="E58" s="26">
        <f t="shared" si="6"/>
        <v>12.355928325080106</v>
      </c>
      <c r="F58" s="24">
        <f t="shared" si="6"/>
        <v>20.891544067896923</v>
      </c>
      <c r="G58" s="25">
        <f t="shared" si="6"/>
        <v>14.833993331448342</v>
      </c>
      <c r="H58" s="26">
        <f t="shared" si="6"/>
        <v>13.472085118883394</v>
      </c>
      <c r="I58" s="24">
        <f t="shared" si="6"/>
        <v>22.88101564347839</v>
      </c>
      <c r="J58" s="25">
        <f t="shared" si="6"/>
        <v>16.519455350502195</v>
      </c>
      <c r="K58" s="26">
        <f t="shared" si="6"/>
        <v>15.113463068933347</v>
      </c>
      <c r="L58" s="6"/>
      <c r="M58" s="24">
        <f t="shared" si="7"/>
        <v>3.9235280614140797</v>
      </c>
      <c r="N58" s="25">
        <f t="shared" si="7"/>
        <v>2.5191456921584607</v>
      </c>
      <c r="O58" s="26">
        <f t="shared" si="7"/>
        <v>1.9887169938200555</v>
      </c>
      <c r="P58" s="24">
        <f t="shared" si="7"/>
        <v>5.2312688122162685</v>
      </c>
      <c r="Q58" s="25">
        <f t="shared" si="7"/>
        <v>3.737658126033881</v>
      </c>
      <c r="R58" s="26">
        <f t="shared" si="7"/>
        <v>3.2072294276954754</v>
      </c>
      <c r="S58" s="24">
        <f t="shared" si="7"/>
        <v>6.5389219546478135</v>
      </c>
      <c r="T58" s="25">
        <f t="shared" si="7"/>
        <v>4.956170559909303</v>
      </c>
      <c r="U58" s="26">
        <f t="shared" si="7"/>
        <v>4.425741861570897</v>
      </c>
      <c r="V58" s="6"/>
      <c r="W58" s="24">
        <v>3.7304826911275164</v>
      </c>
      <c r="X58" s="25">
        <v>1.5638511967448687</v>
      </c>
      <c r="Y58" s="26">
        <v>1.114618918071758</v>
      </c>
      <c r="Z58" s="24">
        <v>4.070781115966832</v>
      </c>
      <c r="AA58" s="25">
        <v>1.8373150075950004</v>
      </c>
      <c r="AB58" s="26">
        <v>1.3880827289218893</v>
      </c>
      <c r="AC58" s="24">
        <v>5.049424089351734</v>
      </c>
      <c r="AD58" s="25">
        <v>2.227069076879739</v>
      </c>
      <c r="AE58" s="26">
        <v>1.7778367982066283</v>
      </c>
      <c r="AF58" s="6"/>
      <c r="AG58" s="24">
        <v>43.2900632739023</v>
      </c>
      <c r="AH58" s="25">
        <v>57.756373096810535</v>
      </c>
      <c r="AI58" s="26">
        <v>55.5334558356058</v>
      </c>
      <c r="AJ58" s="24">
        <v>70.91492216515162</v>
      </c>
      <c r="AK58" s="25">
        <v>85.84525032886204</v>
      </c>
      <c r="AL58" s="26">
        <v>83.62233306765731</v>
      </c>
      <c r="AM58" s="24">
        <v>98.539781056401</v>
      </c>
      <c r="AN58" s="25">
        <v>113.93412756091355</v>
      </c>
      <c r="AO58" s="26">
        <v>111.71121029970881</v>
      </c>
      <c r="AP58" s="6"/>
      <c r="AQ58" s="24">
        <v>165.11382184959842</v>
      </c>
      <c r="AR58" s="25">
        <v>169.68639806606558</v>
      </c>
      <c r="AS58" s="24">
        <v>194.006054224596</v>
      </c>
      <c r="AT58" s="25">
        <v>202.65907003293606</v>
      </c>
      <c r="AU58" s="24">
        <v>222.89828659959343</v>
      </c>
      <c r="AV58" s="26">
        <v>235.63174199980662</v>
      </c>
      <c r="AW58" s="4"/>
    </row>
    <row r="59" spans="1:49" ht="12.75">
      <c r="A59" s="4"/>
      <c r="B59" s="23">
        <v>2062</v>
      </c>
      <c r="C59" s="24">
        <f t="shared" si="6"/>
        <v>19.49290894460688</v>
      </c>
      <c r="D59" s="25">
        <f t="shared" si="6"/>
        <v>13.673996623347326</v>
      </c>
      <c r="E59" s="26">
        <f t="shared" si="6"/>
        <v>12.355928325080106</v>
      </c>
      <c r="F59" s="24">
        <f t="shared" si="6"/>
        <v>20.891544067896923</v>
      </c>
      <c r="G59" s="25">
        <f t="shared" si="6"/>
        <v>14.833993331448342</v>
      </c>
      <c r="H59" s="26">
        <f t="shared" si="6"/>
        <v>13.472085118883394</v>
      </c>
      <c r="I59" s="24">
        <f t="shared" si="6"/>
        <v>22.88101564347839</v>
      </c>
      <c r="J59" s="25">
        <f t="shared" si="6"/>
        <v>16.519455350502195</v>
      </c>
      <c r="K59" s="26">
        <f t="shared" si="6"/>
        <v>15.113463068933347</v>
      </c>
      <c r="L59" s="6"/>
      <c r="M59" s="24">
        <f t="shared" si="7"/>
        <v>3.9235280614140797</v>
      </c>
      <c r="N59" s="25">
        <f t="shared" si="7"/>
        <v>2.5191456921584607</v>
      </c>
      <c r="O59" s="26">
        <f t="shared" si="7"/>
        <v>1.9887169938200555</v>
      </c>
      <c r="P59" s="24">
        <f t="shared" si="7"/>
        <v>5.2312688122162685</v>
      </c>
      <c r="Q59" s="25">
        <f t="shared" si="7"/>
        <v>3.737658126033881</v>
      </c>
      <c r="R59" s="26">
        <f t="shared" si="7"/>
        <v>3.2072294276954754</v>
      </c>
      <c r="S59" s="24">
        <f t="shared" si="7"/>
        <v>6.5389219546478135</v>
      </c>
      <c r="T59" s="25">
        <f t="shared" si="7"/>
        <v>4.956170559909303</v>
      </c>
      <c r="U59" s="26">
        <f t="shared" si="7"/>
        <v>4.425741861570897</v>
      </c>
      <c r="V59" s="6"/>
      <c r="W59" s="24">
        <v>3.7304826911275164</v>
      </c>
      <c r="X59" s="25">
        <v>1.5692731088597447</v>
      </c>
      <c r="Y59" s="26">
        <v>1.116150216604501</v>
      </c>
      <c r="Z59" s="24">
        <v>4.070781115966832</v>
      </c>
      <c r="AA59" s="25">
        <v>1.8427369197098762</v>
      </c>
      <c r="AB59" s="26">
        <v>1.3896140274546325</v>
      </c>
      <c r="AC59" s="24">
        <v>5.049424089351734</v>
      </c>
      <c r="AD59" s="25">
        <v>2.2324909889946154</v>
      </c>
      <c r="AE59" s="26">
        <v>1.7793680967393715</v>
      </c>
      <c r="AF59" s="6"/>
      <c r="AG59" s="24">
        <v>43.2900632739023</v>
      </c>
      <c r="AH59" s="25">
        <v>57.959370297037815</v>
      </c>
      <c r="AI59" s="26">
        <v>55.73645303583308</v>
      </c>
      <c r="AJ59" s="24">
        <v>70.91492216515162</v>
      </c>
      <c r="AK59" s="25">
        <v>86.04824752908932</v>
      </c>
      <c r="AL59" s="26">
        <v>83.82533026788458</v>
      </c>
      <c r="AM59" s="24">
        <v>98.539781056401</v>
      </c>
      <c r="AN59" s="25">
        <v>114.13712476114084</v>
      </c>
      <c r="AO59" s="26">
        <v>111.91420749993608</v>
      </c>
      <c r="AP59" s="6"/>
      <c r="AQ59" s="24">
        <v>166.381005449581</v>
      </c>
      <c r="AR59" s="25">
        <v>170.95358166604814</v>
      </c>
      <c r="AS59" s="24">
        <v>195.2732378245785</v>
      </c>
      <c r="AT59" s="25">
        <v>203.9262536329186</v>
      </c>
      <c r="AU59" s="24">
        <v>224.165470199576</v>
      </c>
      <c r="AV59" s="26">
        <v>236.89892559978915</v>
      </c>
      <c r="AW59" s="4"/>
    </row>
    <row r="60" spans="1:49" ht="12.75">
      <c r="A60" s="4"/>
      <c r="B60" s="23">
        <v>2063</v>
      </c>
      <c r="C60" s="24">
        <f t="shared" si="6"/>
        <v>19.49290894460688</v>
      </c>
      <c r="D60" s="25">
        <f t="shared" si="6"/>
        <v>13.673996623347326</v>
      </c>
      <c r="E60" s="26">
        <f t="shared" si="6"/>
        <v>12.355928325080106</v>
      </c>
      <c r="F60" s="24">
        <f t="shared" si="6"/>
        <v>20.891544067896923</v>
      </c>
      <c r="G60" s="25">
        <f t="shared" si="6"/>
        <v>14.833993331448342</v>
      </c>
      <c r="H60" s="26">
        <f t="shared" si="6"/>
        <v>13.472085118883394</v>
      </c>
      <c r="I60" s="24">
        <f t="shared" si="6"/>
        <v>22.88101564347839</v>
      </c>
      <c r="J60" s="25">
        <f t="shared" si="6"/>
        <v>16.519455350502195</v>
      </c>
      <c r="K60" s="26">
        <f t="shared" si="6"/>
        <v>15.113463068933347</v>
      </c>
      <c r="L60" s="6"/>
      <c r="M60" s="24">
        <f t="shared" si="7"/>
        <v>3.9235280614140797</v>
      </c>
      <c r="N60" s="25">
        <f t="shared" si="7"/>
        <v>2.5191456921584607</v>
      </c>
      <c r="O60" s="26">
        <f t="shared" si="7"/>
        <v>1.9887169938200555</v>
      </c>
      <c r="P60" s="24">
        <f t="shared" si="7"/>
        <v>5.2312688122162685</v>
      </c>
      <c r="Q60" s="25">
        <f t="shared" si="7"/>
        <v>3.737658126033881</v>
      </c>
      <c r="R60" s="26">
        <f t="shared" si="7"/>
        <v>3.2072294276954754</v>
      </c>
      <c r="S60" s="24">
        <f t="shared" si="7"/>
        <v>6.5389219546478135</v>
      </c>
      <c r="T60" s="25">
        <f t="shared" si="7"/>
        <v>4.956170559909303</v>
      </c>
      <c r="U60" s="26">
        <f t="shared" si="7"/>
        <v>4.425741861570897</v>
      </c>
      <c r="V60" s="6"/>
      <c r="W60" s="24">
        <v>3.7304826911275164</v>
      </c>
      <c r="X60" s="25">
        <v>1.5747533781500256</v>
      </c>
      <c r="Y60" s="26">
        <v>1.117697996823996</v>
      </c>
      <c r="Z60" s="24">
        <v>4.070781115966832</v>
      </c>
      <c r="AA60" s="25">
        <v>1.848217189000157</v>
      </c>
      <c r="AB60" s="26">
        <v>1.3911618076741274</v>
      </c>
      <c r="AC60" s="24">
        <v>5.049424089351734</v>
      </c>
      <c r="AD60" s="25">
        <v>2.237971258284896</v>
      </c>
      <c r="AE60" s="26">
        <v>1.7809158769588664</v>
      </c>
      <c r="AF60" s="6"/>
      <c r="AG60" s="24">
        <v>43.2900632739023</v>
      </c>
      <c r="AH60" s="25">
        <v>58.16455239863742</v>
      </c>
      <c r="AI60" s="26">
        <v>55.94163513743269</v>
      </c>
      <c r="AJ60" s="24">
        <v>70.91492216515162</v>
      </c>
      <c r="AK60" s="25">
        <v>86.25342963068893</v>
      </c>
      <c r="AL60" s="26">
        <v>84.03051236948419</v>
      </c>
      <c r="AM60" s="24">
        <v>98.539781056401</v>
      </c>
      <c r="AN60" s="25">
        <v>114.34230686274041</v>
      </c>
      <c r="AO60" s="26">
        <v>112.11938960153567</v>
      </c>
      <c r="AP60" s="6"/>
      <c r="AQ60" s="24">
        <v>167.66182801198997</v>
      </c>
      <c r="AR60" s="25">
        <v>172.2344042284571</v>
      </c>
      <c r="AS60" s="24">
        <v>196.55406038698752</v>
      </c>
      <c r="AT60" s="25">
        <v>205.2070761953276</v>
      </c>
      <c r="AU60" s="24">
        <v>225.44629276198498</v>
      </c>
      <c r="AV60" s="26">
        <v>238.17974816219814</v>
      </c>
      <c r="AW60" s="4"/>
    </row>
    <row r="61" spans="1:49" ht="12.75">
      <c r="A61" s="4"/>
      <c r="B61" s="23">
        <v>2064</v>
      </c>
      <c r="C61" s="24">
        <f aca="true" t="shared" si="8" ref="C61:K76">C60</f>
        <v>19.49290894460688</v>
      </c>
      <c r="D61" s="25">
        <f t="shared" si="8"/>
        <v>13.673996623347326</v>
      </c>
      <c r="E61" s="26">
        <f t="shared" si="8"/>
        <v>12.355928325080106</v>
      </c>
      <c r="F61" s="24">
        <f t="shared" si="8"/>
        <v>20.891544067896923</v>
      </c>
      <c r="G61" s="25">
        <f t="shared" si="8"/>
        <v>14.833993331448342</v>
      </c>
      <c r="H61" s="26">
        <f t="shared" si="8"/>
        <v>13.472085118883394</v>
      </c>
      <c r="I61" s="24">
        <f t="shared" si="8"/>
        <v>22.88101564347839</v>
      </c>
      <c r="J61" s="25">
        <f t="shared" si="8"/>
        <v>16.519455350502195</v>
      </c>
      <c r="K61" s="26">
        <f t="shared" si="8"/>
        <v>15.113463068933347</v>
      </c>
      <c r="L61" s="6"/>
      <c r="M61" s="24">
        <f aca="true" t="shared" si="9" ref="M61:U76">M60</f>
        <v>3.9235280614140797</v>
      </c>
      <c r="N61" s="25">
        <f t="shared" si="9"/>
        <v>2.5191456921584607</v>
      </c>
      <c r="O61" s="26">
        <f t="shared" si="9"/>
        <v>1.9887169938200555</v>
      </c>
      <c r="P61" s="24">
        <f t="shared" si="9"/>
        <v>5.2312688122162685</v>
      </c>
      <c r="Q61" s="25">
        <f t="shared" si="9"/>
        <v>3.737658126033881</v>
      </c>
      <c r="R61" s="26">
        <f t="shared" si="9"/>
        <v>3.2072294276954754</v>
      </c>
      <c r="S61" s="24">
        <f t="shared" si="9"/>
        <v>6.5389219546478135</v>
      </c>
      <c r="T61" s="25">
        <f t="shared" si="9"/>
        <v>4.956170559909303</v>
      </c>
      <c r="U61" s="26">
        <f t="shared" si="9"/>
        <v>4.425741861570897</v>
      </c>
      <c r="V61" s="6"/>
      <c r="W61" s="24">
        <v>3.7304826911275164</v>
      </c>
      <c r="X61" s="25">
        <v>1.5802926327262095</v>
      </c>
      <c r="Y61" s="26">
        <v>1.1192624361260886</v>
      </c>
      <c r="Z61" s="24">
        <v>4.070781115966832</v>
      </c>
      <c r="AA61" s="25">
        <v>1.8537564435763412</v>
      </c>
      <c r="AB61" s="26">
        <v>1.39272624697622</v>
      </c>
      <c r="AC61" s="24">
        <v>5.049424089351734</v>
      </c>
      <c r="AD61" s="25">
        <v>2.24351051286108</v>
      </c>
      <c r="AE61" s="26">
        <v>1.7824803162609588</v>
      </c>
      <c r="AF61" s="6"/>
      <c r="AG61" s="24">
        <v>43.2900632739023</v>
      </c>
      <c r="AH61" s="25">
        <v>58.3719429181603</v>
      </c>
      <c r="AI61" s="26">
        <v>56.14902565695557</v>
      </c>
      <c r="AJ61" s="24">
        <v>70.91492216515162</v>
      </c>
      <c r="AK61" s="25">
        <v>86.4608201502118</v>
      </c>
      <c r="AL61" s="26">
        <v>84.23790288900707</v>
      </c>
      <c r="AM61" s="24">
        <v>98.539781056401</v>
      </c>
      <c r="AN61" s="25">
        <v>114.5496973822633</v>
      </c>
      <c r="AO61" s="26">
        <v>112.32678012105856</v>
      </c>
      <c r="AP61" s="6"/>
      <c r="AQ61" s="24">
        <v>168.95643633583396</v>
      </c>
      <c r="AR61" s="25">
        <v>173.52901255230103</v>
      </c>
      <c r="AS61" s="24">
        <v>197.84866871083142</v>
      </c>
      <c r="AT61" s="25">
        <v>206.50168451917153</v>
      </c>
      <c r="AU61" s="24">
        <v>226.74090108582885</v>
      </c>
      <c r="AV61" s="26">
        <v>239.47435648604204</v>
      </c>
      <c r="AW61" s="4"/>
    </row>
    <row r="62" spans="1:49" ht="12.75">
      <c r="A62" s="4"/>
      <c r="B62" s="23">
        <v>2065</v>
      </c>
      <c r="C62" s="24">
        <f t="shared" si="8"/>
        <v>19.49290894460688</v>
      </c>
      <c r="D62" s="25">
        <f t="shared" si="8"/>
        <v>13.673996623347326</v>
      </c>
      <c r="E62" s="26">
        <f t="shared" si="8"/>
        <v>12.355928325080106</v>
      </c>
      <c r="F62" s="24">
        <f t="shared" si="8"/>
        <v>20.891544067896923</v>
      </c>
      <c r="G62" s="25">
        <f t="shared" si="8"/>
        <v>14.833993331448342</v>
      </c>
      <c r="H62" s="26">
        <f t="shared" si="8"/>
        <v>13.472085118883394</v>
      </c>
      <c r="I62" s="24">
        <f t="shared" si="8"/>
        <v>22.88101564347839</v>
      </c>
      <c r="J62" s="25">
        <f t="shared" si="8"/>
        <v>16.519455350502195</v>
      </c>
      <c r="K62" s="26">
        <f t="shared" si="8"/>
        <v>15.113463068933347</v>
      </c>
      <c r="L62" s="6"/>
      <c r="M62" s="24">
        <f t="shared" si="9"/>
        <v>3.9235280614140797</v>
      </c>
      <c r="N62" s="25">
        <f t="shared" si="9"/>
        <v>2.5191456921584607</v>
      </c>
      <c r="O62" s="26">
        <f t="shared" si="9"/>
        <v>1.9887169938200555</v>
      </c>
      <c r="P62" s="24">
        <f t="shared" si="9"/>
        <v>5.2312688122162685</v>
      </c>
      <c r="Q62" s="25">
        <f t="shared" si="9"/>
        <v>3.737658126033881</v>
      </c>
      <c r="R62" s="26">
        <f t="shared" si="9"/>
        <v>3.2072294276954754</v>
      </c>
      <c r="S62" s="24">
        <f t="shared" si="9"/>
        <v>6.5389219546478135</v>
      </c>
      <c r="T62" s="25">
        <f t="shared" si="9"/>
        <v>4.956170559909303</v>
      </c>
      <c r="U62" s="26">
        <f t="shared" si="9"/>
        <v>4.425741861570897</v>
      </c>
      <c r="V62" s="6"/>
      <c r="W62" s="24">
        <v>3.7304826911275164</v>
      </c>
      <c r="X62" s="25">
        <v>1.5858915074592799</v>
      </c>
      <c r="Y62" s="26">
        <v>1.1208437138159721</v>
      </c>
      <c r="Z62" s="24">
        <v>4.070781115966832</v>
      </c>
      <c r="AA62" s="25">
        <v>1.8593553183094116</v>
      </c>
      <c r="AB62" s="26">
        <v>1.3943075246661036</v>
      </c>
      <c r="AC62" s="24">
        <v>5.049424089351734</v>
      </c>
      <c r="AD62" s="25">
        <v>2.2491093875941504</v>
      </c>
      <c r="AE62" s="26">
        <v>1.7840615939508426</v>
      </c>
      <c r="AF62" s="6"/>
      <c r="AG62" s="24">
        <v>43.2900632739023</v>
      </c>
      <c r="AH62" s="25">
        <v>58.581565625271004</v>
      </c>
      <c r="AI62" s="26">
        <v>56.35864836406627</v>
      </c>
      <c r="AJ62" s="24">
        <v>70.91492216515162</v>
      </c>
      <c r="AK62" s="25">
        <v>86.6704428573225</v>
      </c>
      <c r="AL62" s="26">
        <v>84.44752559611777</v>
      </c>
      <c r="AM62" s="24">
        <v>98.539781056401</v>
      </c>
      <c r="AN62" s="25">
        <v>114.759320089374</v>
      </c>
      <c r="AO62" s="26">
        <v>112.53640282816926</v>
      </c>
      <c r="AP62" s="6"/>
      <c r="AQ62" s="24">
        <v>170.2649788001497</v>
      </c>
      <c r="AR62" s="25">
        <v>174.83755501661682</v>
      </c>
      <c r="AS62" s="24">
        <v>199.15721117514727</v>
      </c>
      <c r="AT62" s="25">
        <v>207.81022698348735</v>
      </c>
      <c r="AU62" s="24">
        <v>228.0494435501447</v>
      </c>
      <c r="AV62" s="26">
        <v>240.78289895035786</v>
      </c>
      <c r="AW62" s="4"/>
    </row>
    <row r="63" spans="1:49" ht="12.75">
      <c r="A63" s="4"/>
      <c r="B63" s="23">
        <v>2066</v>
      </c>
      <c r="C63" s="24">
        <f t="shared" si="8"/>
        <v>19.49290894460688</v>
      </c>
      <c r="D63" s="25">
        <f t="shared" si="8"/>
        <v>13.673996623347326</v>
      </c>
      <c r="E63" s="26">
        <f t="shared" si="8"/>
        <v>12.355928325080106</v>
      </c>
      <c r="F63" s="24">
        <f t="shared" si="8"/>
        <v>20.891544067896923</v>
      </c>
      <c r="G63" s="25">
        <f t="shared" si="8"/>
        <v>14.833993331448342</v>
      </c>
      <c r="H63" s="26">
        <f t="shared" si="8"/>
        <v>13.472085118883394</v>
      </c>
      <c r="I63" s="24">
        <f t="shared" si="8"/>
        <v>22.88101564347839</v>
      </c>
      <c r="J63" s="25">
        <f t="shared" si="8"/>
        <v>16.519455350502195</v>
      </c>
      <c r="K63" s="26">
        <f t="shared" si="8"/>
        <v>15.113463068933347</v>
      </c>
      <c r="L63" s="6"/>
      <c r="M63" s="24">
        <f t="shared" si="9"/>
        <v>3.9235280614140797</v>
      </c>
      <c r="N63" s="25">
        <f t="shared" si="9"/>
        <v>2.5191456921584607</v>
      </c>
      <c r="O63" s="26">
        <f t="shared" si="9"/>
        <v>1.9887169938200555</v>
      </c>
      <c r="P63" s="24">
        <f t="shared" si="9"/>
        <v>5.2312688122162685</v>
      </c>
      <c r="Q63" s="25">
        <f t="shared" si="9"/>
        <v>3.737658126033881</v>
      </c>
      <c r="R63" s="26">
        <f t="shared" si="9"/>
        <v>3.2072294276954754</v>
      </c>
      <c r="S63" s="24">
        <f t="shared" si="9"/>
        <v>6.5389219546478135</v>
      </c>
      <c r="T63" s="25">
        <f t="shared" si="9"/>
        <v>4.956170559909303</v>
      </c>
      <c r="U63" s="26">
        <f t="shared" si="9"/>
        <v>4.425741861570897</v>
      </c>
      <c r="V63" s="6"/>
      <c r="W63" s="24">
        <v>3.7304826911275164</v>
      </c>
      <c r="X63" s="25">
        <v>1.5915506440534692</v>
      </c>
      <c r="Y63" s="26">
        <v>1.1224420111287414</v>
      </c>
      <c r="Z63" s="24">
        <v>4.070781115966832</v>
      </c>
      <c r="AA63" s="25">
        <v>1.8650144549036012</v>
      </c>
      <c r="AB63" s="26">
        <v>1.395905821978873</v>
      </c>
      <c r="AC63" s="24">
        <v>5.049424089351734</v>
      </c>
      <c r="AD63" s="25">
        <v>2.2547685241883397</v>
      </c>
      <c r="AE63" s="26">
        <v>1.785659891263612</v>
      </c>
      <c r="AF63" s="6"/>
      <c r="AG63" s="24">
        <v>43.2900632739023</v>
      </c>
      <c r="AH63" s="25">
        <v>58.793444545471935</v>
      </c>
      <c r="AI63" s="26">
        <v>56.57052728426721</v>
      </c>
      <c r="AJ63" s="24">
        <v>70.91492216515162</v>
      </c>
      <c r="AK63" s="25">
        <v>86.88232177752344</v>
      </c>
      <c r="AL63" s="26">
        <v>84.6594045163187</v>
      </c>
      <c r="AM63" s="24">
        <v>98.539781056401</v>
      </c>
      <c r="AN63" s="25">
        <v>114.97119900957495</v>
      </c>
      <c r="AO63" s="26">
        <v>112.7482817483702</v>
      </c>
      <c r="AP63" s="6"/>
      <c r="AQ63" s="24">
        <v>171.58760538100907</v>
      </c>
      <c r="AR63" s="25">
        <v>176.16018159747617</v>
      </c>
      <c r="AS63" s="24">
        <v>200.47983775600653</v>
      </c>
      <c r="AT63" s="25">
        <v>209.13285356434662</v>
      </c>
      <c r="AU63" s="24">
        <v>229.37207013100397</v>
      </c>
      <c r="AV63" s="26">
        <v>242.10552553121715</v>
      </c>
      <c r="AW63" s="4"/>
    </row>
    <row r="64" spans="1:49" ht="12.75">
      <c r="A64" s="4"/>
      <c r="B64" s="23">
        <v>2067</v>
      </c>
      <c r="C64" s="24">
        <f t="shared" si="8"/>
        <v>19.49290894460688</v>
      </c>
      <c r="D64" s="25">
        <f t="shared" si="8"/>
        <v>13.673996623347326</v>
      </c>
      <c r="E64" s="26">
        <f t="shared" si="8"/>
        <v>12.355928325080106</v>
      </c>
      <c r="F64" s="24">
        <f t="shared" si="8"/>
        <v>20.891544067896923</v>
      </c>
      <c r="G64" s="25">
        <f t="shared" si="8"/>
        <v>14.833993331448342</v>
      </c>
      <c r="H64" s="26">
        <f t="shared" si="8"/>
        <v>13.472085118883394</v>
      </c>
      <c r="I64" s="24">
        <f t="shared" si="8"/>
        <v>22.88101564347839</v>
      </c>
      <c r="J64" s="25">
        <f t="shared" si="8"/>
        <v>16.519455350502195</v>
      </c>
      <c r="K64" s="26">
        <f t="shared" si="8"/>
        <v>15.113463068933347</v>
      </c>
      <c r="L64" s="6"/>
      <c r="M64" s="24">
        <f t="shared" si="9"/>
        <v>3.9235280614140797</v>
      </c>
      <c r="N64" s="25">
        <f t="shared" si="9"/>
        <v>2.5191456921584607</v>
      </c>
      <c r="O64" s="26">
        <f t="shared" si="9"/>
        <v>1.9887169938200555</v>
      </c>
      <c r="P64" s="24">
        <f t="shared" si="9"/>
        <v>5.2312688122162685</v>
      </c>
      <c r="Q64" s="25">
        <f t="shared" si="9"/>
        <v>3.737658126033881</v>
      </c>
      <c r="R64" s="26">
        <f t="shared" si="9"/>
        <v>3.2072294276954754</v>
      </c>
      <c r="S64" s="24">
        <f t="shared" si="9"/>
        <v>6.5389219546478135</v>
      </c>
      <c r="T64" s="25">
        <f t="shared" si="9"/>
        <v>4.956170559909303</v>
      </c>
      <c r="U64" s="26">
        <f t="shared" si="9"/>
        <v>4.425741861570897</v>
      </c>
      <c r="V64" s="6"/>
      <c r="W64" s="24">
        <v>3.7304826911275164</v>
      </c>
      <c r="X64" s="25">
        <v>1.5972706911198078</v>
      </c>
      <c r="Y64" s="26">
        <v>1.1240575112501607</v>
      </c>
      <c r="Z64" s="24">
        <v>4.070781115966832</v>
      </c>
      <c r="AA64" s="25">
        <v>1.8707345019699395</v>
      </c>
      <c r="AB64" s="26">
        <v>1.3975213221002922</v>
      </c>
      <c r="AC64" s="24">
        <v>5.049424089351734</v>
      </c>
      <c r="AD64" s="25">
        <v>2.2604885712546783</v>
      </c>
      <c r="AE64" s="26">
        <v>1.7872753913850308</v>
      </c>
      <c r="AF64" s="6"/>
      <c r="AG64" s="24">
        <v>43.2900632739023</v>
      </c>
      <c r="AH64" s="25">
        <v>59.00760396285702</v>
      </c>
      <c r="AI64" s="26">
        <v>56.78468670165229</v>
      </c>
      <c r="AJ64" s="24">
        <v>70.91492216515162</v>
      </c>
      <c r="AK64" s="25">
        <v>87.09648119490852</v>
      </c>
      <c r="AL64" s="26">
        <v>84.87356393370379</v>
      </c>
      <c r="AM64" s="24">
        <v>98.539781056401</v>
      </c>
      <c r="AN64" s="25">
        <v>115.18535842696004</v>
      </c>
      <c r="AO64" s="26">
        <v>112.9624411657553</v>
      </c>
      <c r="AP64" s="6"/>
      <c r="AQ64" s="24">
        <v>172.9244676687074</v>
      </c>
      <c r="AR64" s="25">
        <v>177.4970438851745</v>
      </c>
      <c r="AS64" s="24">
        <v>201.81670004370486</v>
      </c>
      <c r="AT64" s="25">
        <v>210.46971585204497</v>
      </c>
      <c r="AU64" s="24">
        <v>230.70893241870232</v>
      </c>
      <c r="AV64" s="26">
        <v>243.4423878189155</v>
      </c>
      <c r="AW64" s="4"/>
    </row>
    <row r="65" spans="1:49" ht="12.75">
      <c r="A65" s="4"/>
      <c r="B65" s="23">
        <v>2068</v>
      </c>
      <c r="C65" s="24">
        <f t="shared" si="8"/>
        <v>19.49290894460688</v>
      </c>
      <c r="D65" s="25">
        <f t="shared" si="8"/>
        <v>13.673996623347326</v>
      </c>
      <c r="E65" s="26">
        <f t="shared" si="8"/>
        <v>12.355928325080106</v>
      </c>
      <c r="F65" s="24">
        <f t="shared" si="8"/>
        <v>20.891544067896923</v>
      </c>
      <c r="G65" s="25">
        <f t="shared" si="8"/>
        <v>14.833993331448342</v>
      </c>
      <c r="H65" s="26">
        <f t="shared" si="8"/>
        <v>13.472085118883394</v>
      </c>
      <c r="I65" s="24">
        <f t="shared" si="8"/>
        <v>22.88101564347839</v>
      </c>
      <c r="J65" s="25">
        <f t="shared" si="8"/>
        <v>16.519455350502195</v>
      </c>
      <c r="K65" s="26">
        <f t="shared" si="8"/>
        <v>15.113463068933347</v>
      </c>
      <c r="L65" s="6"/>
      <c r="M65" s="24">
        <f t="shared" si="9"/>
        <v>3.9235280614140797</v>
      </c>
      <c r="N65" s="25">
        <f t="shared" si="9"/>
        <v>2.5191456921584607</v>
      </c>
      <c r="O65" s="26">
        <f t="shared" si="9"/>
        <v>1.9887169938200555</v>
      </c>
      <c r="P65" s="24">
        <f t="shared" si="9"/>
        <v>5.2312688122162685</v>
      </c>
      <c r="Q65" s="25">
        <f t="shared" si="9"/>
        <v>3.737658126033881</v>
      </c>
      <c r="R65" s="26">
        <f t="shared" si="9"/>
        <v>3.2072294276954754</v>
      </c>
      <c r="S65" s="24">
        <f t="shared" si="9"/>
        <v>6.5389219546478135</v>
      </c>
      <c r="T65" s="25">
        <f t="shared" si="9"/>
        <v>4.956170559909303</v>
      </c>
      <c r="U65" s="26">
        <f t="shared" si="9"/>
        <v>4.425741861570897</v>
      </c>
      <c r="V65" s="6"/>
      <c r="W65" s="24">
        <v>3.7304826911275164</v>
      </c>
      <c r="X65" s="25">
        <v>1.603052304250461</v>
      </c>
      <c r="Y65" s="26">
        <v>1.125690399337662</v>
      </c>
      <c r="Z65" s="24">
        <v>4.070781115966832</v>
      </c>
      <c r="AA65" s="25">
        <v>1.8765161151005925</v>
      </c>
      <c r="AB65" s="26">
        <v>1.3991542101877932</v>
      </c>
      <c r="AC65" s="24">
        <v>5.049424089351734</v>
      </c>
      <c r="AD65" s="25">
        <v>2.2662701843853315</v>
      </c>
      <c r="AE65" s="26">
        <v>1.7889082794725324</v>
      </c>
      <c r="AF65" s="6"/>
      <c r="AG65" s="24">
        <v>43.2900632739023</v>
      </c>
      <c r="AH65" s="25">
        <v>59.22406842289499</v>
      </c>
      <c r="AI65" s="26">
        <v>57.00115116169026</v>
      </c>
      <c r="AJ65" s="24">
        <v>70.91492216515162</v>
      </c>
      <c r="AK65" s="25">
        <v>87.31294565494649</v>
      </c>
      <c r="AL65" s="26">
        <v>85.09002839374176</v>
      </c>
      <c r="AM65" s="24">
        <v>98.539781056401</v>
      </c>
      <c r="AN65" s="25">
        <v>115.401822886998</v>
      </c>
      <c r="AO65" s="26">
        <v>113.17890562579326</v>
      </c>
      <c r="AP65" s="6"/>
      <c r="AQ65" s="24">
        <v>174.27571888513828</v>
      </c>
      <c r="AR65" s="25">
        <v>178.84829510160537</v>
      </c>
      <c r="AS65" s="24">
        <v>203.16795126013574</v>
      </c>
      <c r="AT65" s="25">
        <v>211.82096706847582</v>
      </c>
      <c r="AU65" s="24">
        <v>232.0601836351332</v>
      </c>
      <c r="AV65" s="26">
        <v>244.79363903534636</v>
      </c>
      <c r="AW65" s="4"/>
    </row>
    <row r="66" spans="1:49" ht="12.75">
      <c r="A66" s="4"/>
      <c r="B66" s="23">
        <v>2069</v>
      </c>
      <c r="C66" s="24">
        <f t="shared" si="8"/>
        <v>19.49290894460688</v>
      </c>
      <c r="D66" s="25">
        <f t="shared" si="8"/>
        <v>13.673996623347326</v>
      </c>
      <c r="E66" s="26">
        <f t="shared" si="8"/>
        <v>12.355928325080106</v>
      </c>
      <c r="F66" s="24">
        <f t="shared" si="8"/>
        <v>20.891544067896923</v>
      </c>
      <c r="G66" s="25">
        <f t="shared" si="8"/>
        <v>14.833993331448342</v>
      </c>
      <c r="H66" s="26">
        <f t="shared" si="8"/>
        <v>13.472085118883394</v>
      </c>
      <c r="I66" s="24">
        <f t="shared" si="8"/>
        <v>22.88101564347839</v>
      </c>
      <c r="J66" s="25">
        <f t="shared" si="8"/>
        <v>16.519455350502195</v>
      </c>
      <c r="K66" s="26">
        <f t="shared" si="8"/>
        <v>15.113463068933347</v>
      </c>
      <c r="L66" s="6"/>
      <c r="M66" s="24">
        <f t="shared" si="9"/>
        <v>3.9235280614140797</v>
      </c>
      <c r="N66" s="25">
        <f t="shared" si="9"/>
        <v>2.5191456921584607</v>
      </c>
      <c r="O66" s="26">
        <f t="shared" si="9"/>
        <v>1.9887169938200555</v>
      </c>
      <c r="P66" s="24">
        <f t="shared" si="9"/>
        <v>5.2312688122162685</v>
      </c>
      <c r="Q66" s="25">
        <f t="shared" si="9"/>
        <v>3.737658126033881</v>
      </c>
      <c r="R66" s="26">
        <f t="shared" si="9"/>
        <v>3.2072294276954754</v>
      </c>
      <c r="S66" s="24">
        <f t="shared" si="9"/>
        <v>6.5389219546478135</v>
      </c>
      <c r="T66" s="25">
        <f t="shared" si="9"/>
        <v>4.956170559909303</v>
      </c>
      <c r="U66" s="26">
        <f t="shared" si="9"/>
        <v>4.425741861570897</v>
      </c>
      <c r="V66" s="6"/>
      <c r="W66" s="24">
        <v>3.7304826911275164</v>
      </c>
      <c r="X66" s="25">
        <v>1.6088961460938702</v>
      </c>
      <c r="Y66" s="26">
        <v>1.1273408625415646</v>
      </c>
      <c r="Z66" s="24">
        <v>4.070781115966832</v>
      </c>
      <c r="AA66" s="25">
        <v>1.882359956944002</v>
      </c>
      <c r="AB66" s="26">
        <v>1.400804673391696</v>
      </c>
      <c r="AC66" s="24">
        <v>5.049424089351734</v>
      </c>
      <c r="AD66" s="25">
        <v>2.2721140262287407</v>
      </c>
      <c r="AE66" s="26">
        <v>1.7905587426764347</v>
      </c>
      <c r="AF66" s="6"/>
      <c r="AG66" s="24">
        <v>43.2900632739023</v>
      </c>
      <c r="AH66" s="25">
        <v>59.44286273524255</v>
      </c>
      <c r="AI66" s="26">
        <v>57.219945474037814</v>
      </c>
      <c r="AJ66" s="24">
        <v>70.91492216515162</v>
      </c>
      <c r="AK66" s="25">
        <v>87.53173996729404</v>
      </c>
      <c r="AL66" s="26">
        <v>85.30882270608932</v>
      </c>
      <c r="AM66" s="24">
        <v>98.539781056401</v>
      </c>
      <c r="AN66" s="25">
        <v>115.62061719934555</v>
      </c>
      <c r="AO66" s="26">
        <v>113.3976999381408</v>
      </c>
      <c r="AP66" s="6"/>
      <c r="AQ66" s="24">
        <v>175.64151390135459</v>
      </c>
      <c r="AR66" s="25">
        <v>180.21409011782168</v>
      </c>
      <c r="AS66" s="24">
        <v>204.53374627635208</v>
      </c>
      <c r="AT66" s="25">
        <v>213.18676208469222</v>
      </c>
      <c r="AU66" s="24">
        <v>233.42597865134957</v>
      </c>
      <c r="AV66" s="26">
        <v>246.15943405156267</v>
      </c>
      <c r="AW66" s="4"/>
    </row>
    <row r="67" spans="1:49" ht="12.75">
      <c r="A67" s="4"/>
      <c r="B67" s="23">
        <v>2070</v>
      </c>
      <c r="C67" s="24">
        <f t="shared" si="8"/>
        <v>19.49290894460688</v>
      </c>
      <c r="D67" s="25">
        <f t="shared" si="8"/>
        <v>13.673996623347326</v>
      </c>
      <c r="E67" s="26">
        <f t="shared" si="8"/>
        <v>12.355928325080106</v>
      </c>
      <c r="F67" s="24">
        <f t="shared" si="8"/>
        <v>20.891544067896923</v>
      </c>
      <c r="G67" s="25">
        <f t="shared" si="8"/>
        <v>14.833993331448342</v>
      </c>
      <c r="H67" s="26">
        <f t="shared" si="8"/>
        <v>13.472085118883394</v>
      </c>
      <c r="I67" s="24">
        <f t="shared" si="8"/>
        <v>22.88101564347839</v>
      </c>
      <c r="J67" s="25">
        <f t="shared" si="8"/>
        <v>16.519455350502195</v>
      </c>
      <c r="K67" s="26">
        <f t="shared" si="8"/>
        <v>15.113463068933347</v>
      </c>
      <c r="L67" s="6"/>
      <c r="M67" s="24">
        <f t="shared" si="9"/>
        <v>3.9235280614140797</v>
      </c>
      <c r="N67" s="25">
        <f t="shared" si="9"/>
        <v>2.5191456921584607</v>
      </c>
      <c r="O67" s="26">
        <f t="shared" si="9"/>
        <v>1.9887169938200555</v>
      </c>
      <c r="P67" s="24">
        <f t="shared" si="9"/>
        <v>5.2312688122162685</v>
      </c>
      <c r="Q67" s="25">
        <f t="shared" si="9"/>
        <v>3.737658126033881</v>
      </c>
      <c r="R67" s="26">
        <f t="shared" si="9"/>
        <v>3.2072294276954754</v>
      </c>
      <c r="S67" s="24">
        <f t="shared" si="9"/>
        <v>6.5389219546478135</v>
      </c>
      <c r="T67" s="25">
        <f t="shared" si="9"/>
        <v>4.956170559909303</v>
      </c>
      <c r="U67" s="26">
        <f t="shared" si="9"/>
        <v>4.425741861570897</v>
      </c>
      <c r="V67" s="6"/>
      <c r="W67" s="24">
        <v>3.7304826911275164</v>
      </c>
      <c r="X67" s="25">
        <v>1.6148028864307022</v>
      </c>
      <c r="Y67" s="26">
        <v>1.129009090026527</v>
      </c>
      <c r="Z67" s="24">
        <v>4.070781115966832</v>
      </c>
      <c r="AA67" s="25">
        <v>1.888266697280834</v>
      </c>
      <c r="AB67" s="26">
        <v>1.4024729008766585</v>
      </c>
      <c r="AC67" s="24">
        <v>5.049424089351734</v>
      </c>
      <c r="AD67" s="25">
        <v>2.2780207665655725</v>
      </c>
      <c r="AE67" s="26">
        <v>1.7922269701613973</v>
      </c>
      <c r="AF67" s="6"/>
      <c r="AG67" s="24">
        <v>43.2900632739023</v>
      </c>
      <c r="AH67" s="25">
        <v>59.66401197658799</v>
      </c>
      <c r="AI67" s="26">
        <v>57.441094715383265</v>
      </c>
      <c r="AJ67" s="24">
        <v>70.91492216515162</v>
      </c>
      <c r="AK67" s="25">
        <v>87.7528892086395</v>
      </c>
      <c r="AL67" s="26">
        <v>85.52997194743476</v>
      </c>
      <c r="AM67" s="24">
        <v>98.539781056401</v>
      </c>
      <c r="AN67" s="25">
        <v>115.84176644069099</v>
      </c>
      <c r="AO67" s="26">
        <v>113.61884917948625</v>
      </c>
      <c r="AP67" s="6"/>
      <c r="AQ67" s="24">
        <v>177.02200925531886</v>
      </c>
      <c r="AR67" s="25">
        <v>181.59458547178596</v>
      </c>
      <c r="AS67" s="24">
        <v>205.9142416303163</v>
      </c>
      <c r="AT67" s="25">
        <v>214.56725743865644</v>
      </c>
      <c r="AU67" s="24">
        <v>234.8064740053138</v>
      </c>
      <c r="AV67" s="26">
        <v>247.53992940552695</v>
      </c>
      <c r="AW67" s="4"/>
    </row>
    <row r="68" spans="1:49" ht="12.75">
      <c r="A68" s="4"/>
      <c r="B68" s="23">
        <v>2071</v>
      </c>
      <c r="C68" s="24">
        <f t="shared" si="8"/>
        <v>19.49290894460688</v>
      </c>
      <c r="D68" s="25">
        <f t="shared" si="8"/>
        <v>13.673996623347326</v>
      </c>
      <c r="E68" s="26">
        <f t="shared" si="8"/>
        <v>12.355928325080106</v>
      </c>
      <c r="F68" s="24">
        <f t="shared" si="8"/>
        <v>20.891544067896923</v>
      </c>
      <c r="G68" s="25">
        <f t="shared" si="8"/>
        <v>14.833993331448342</v>
      </c>
      <c r="H68" s="26">
        <f t="shared" si="8"/>
        <v>13.472085118883394</v>
      </c>
      <c r="I68" s="24">
        <f t="shared" si="8"/>
        <v>22.88101564347839</v>
      </c>
      <c r="J68" s="25">
        <f t="shared" si="8"/>
        <v>16.519455350502195</v>
      </c>
      <c r="K68" s="26">
        <f t="shared" si="8"/>
        <v>15.113463068933347</v>
      </c>
      <c r="L68" s="6"/>
      <c r="M68" s="24">
        <f t="shared" si="9"/>
        <v>3.9235280614140797</v>
      </c>
      <c r="N68" s="25">
        <f t="shared" si="9"/>
        <v>2.5191456921584607</v>
      </c>
      <c r="O68" s="26">
        <f t="shared" si="9"/>
        <v>1.9887169938200555</v>
      </c>
      <c r="P68" s="24">
        <f t="shared" si="9"/>
        <v>5.2312688122162685</v>
      </c>
      <c r="Q68" s="25">
        <f t="shared" si="9"/>
        <v>3.737658126033881</v>
      </c>
      <c r="R68" s="26">
        <f t="shared" si="9"/>
        <v>3.2072294276954754</v>
      </c>
      <c r="S68" s="24">
        <f t="shared" si="9"/>
        <v>6.5389219546478135</v>
      </c>
      <c r="T68" s="25">
        <f t="shared" si="9"/>
        <v>4.956170559909303</v>
      </c>
      <c r="U68" s="26">
        <f t="shared" si="9"/>
        <v>4.425741861570897</v>
      </c>
      <c r="V68" s="6"/>
      <c r="W68" s="24">
        <v>3.7304826911275164</v>
      </c>
      <c r="X68" s="25">
        <v>1.6207732022506118</v>
      </c>
      <c r="Y68" s="26">
        <v>1.1306952729932258</v>
      </c>
      <c r="Z68" s="24">
        <v>4.070781115966832</v>
      </c>
      <c r="AA68" s="25">
        <v>1.8942370131007429</v>
      </c>
      <c r="AB68" s="26">
        <v>1.4041590838433573</v>
      </c>
      <c r="AC68" s="24">
        <v>5.049424089351734</v>
      </c>
      <c r="AD68" s="25">
        <v>2.2839910823854823</v>
      </c>
      <c r="AE68" s="26">
        <v>1.793913153128096</v>
      </c>
      <c r="AF68" s="6"/>
      <c r="AG68" s="24">
        <v>43.2900632739023</v>
      </c>
      <c r="AH68" s="25">
        <v>59.88754149352521</v>
      </c>
      <c r="AI68" s="26">
        <v>57.664624232320485</v>
      </c>
      <c r="AJ68" s="24">
        <v>70.91492216515162</v>
      </c>
      <c r="AK68" s="25">
        <v>87.97641872557672</v>
      </c>
      <c r="AL68" s="26">
        <v>85.75350146437198</v>
      </c>
      <c r="AM68" s="24">
        <v>98.539781056401</v>
      </c>
      <c r="AN68" s="25">
        <v>116.06529595762822</v>
      </c>
      <c r="AO68" s="26">
        <v>113.84237869642348</v>
      </c>
      <c r="AP68" s="6"/>
      <c r="AQ68" s="24">
        <v>178.41736316984432</v>
      </c>
      <c r="AR68" s="25">
        <v>182.98993938631142</v>
      </c>
      <c r="AS68" s="24">
        <v>207.3095955448418</v>
      </c>
      <c r="AT68" s="25">
        <v>215.96261135318196</v>
      </c>
      <c r="AU68" s="24">
        <v>236.2018279198393</v>
      </c>
      <c r="AV68" s="26">
        <v>248.93528332005243</v>
      </c>
      <c r="AW68" s="4"/>
    </row>
    <row r="69" spans="1:49" ht="12.75">
      <c r="A69" s="4"/>
      <c r="B69" s="23">
        <v>2072</v>
      </c>
      <c r="C69" s="24">
        <f t="shared" si="8"/>
        <v>19.49290894460688</v>
      </c>
      <c r="D69" s="25">
        <f t="shared" si="8"/>
        <v>13.673996623347326</v>
      </c>
      <c r="E69" s="26">
        <f t="shared" si="8"/>
        <v>12.355928325080106</v>
      </c>
      <c r="F69" s="24">
        <f t="shared" si="8"/>
        <v>20.891544067896923</v>
      </c>
      <c r="G69" s="25">
        <f t="shared" si="8"/>
        <v>14.833993331448342</v>
      </c>
      <c r="H69" s="26">
        <f t="shared" si="8"/>
        <v>13.472085118883394</v>
      </c>
      <c r="I69" s="24">
        <f t="shared" si="8"/>
        <v>22.88101564347839</v>
      </c>
      <c r="J69" s="25">
        <f t="shared" si="8"/>
        <v>16.519455350502195</v>
      </c>
      <c r="K69" s="26">
        <f t="shared" si="8"/>
        <v>15.113463068933347</v>
      </c>
      <c r="L69" s="6"/>
      <c r="M69" s="24">
        <f t="shared" si="9"/>
        <v>3.9235280614140797</v>
      </c>
      <c r="N69" s="25">
        <f t="shared" si="9"/>
        <v>2.5191456921584607</v>
      </c>
      <c r="O69" s="26">
        <f t="shared" si="9"/>
        <v>1.9887169938200555</v>
      </c>
      <c r="P69" s="24">
        <f t="shared" si="9"/>
        <v>5.2312688122162685</v>
      </c>
      <c r="Q69" s="25">
        <f t="shared" si="9"/>
        <v>3.737658126033881</v>
      </c>
      <c r="R69" s="26">
        <f t="shared" si="9"/>
        <v>3.2072294276954754</v>
      </c>
      <c r="S69" s="24">
        <f t="shared" si="9"/>
        <v>6.5389219546478135</v>
      </c>
      <c r="T69" s="25">
        <f t="shared" si="9"/>
        <v>4.956170559909303</v>
      </c>
      <c r="U69" s="26">
        <f t="shared" si="9"/>
        <v>4.425741861570897</v>
      </c>
      <c r="V69" s="6"/>
      <c r="W69" s="24">
        <v>3.7304826911275164</v>
      </c>
      <c r="X69" s="25">
        <v>1.6268077778298353</v>
      </c>
      <c r="Y69" s="26">
        <v>1.1323996047002707</v>
      </c>
      <c r="Z69" s="24">
        <v>4.070781115966832</v>
      </c>
      <c r="AA69" s="25">
        <v>1.9002715886799668</v>
      </c>
      <c r="AB69" s="26">
        <v>1.405863415550402</v>
      </c>
      <c r="AC69" s="24">
        <v>5.049424089351734</v>
      </c>
      <c r="AD69" s="25">
        <v>2.290025657964706</v>
      </c>
      <c r="AE69" s="26">
        <v>1.795617484835141</v>
      </c>
      <c r="AF69" s="6"/>
      <c r="AG69" s="24">
        <v>43.2900632739023</v>
      </c>
      <c r="AH69" s="25">
        <v>60.11347690545882</v>
      </c>
      <c r="AI69" s="26">
        <v>57.89055964425409</v>
      </c>
      <c r="AJ69" s="24">
        <v>70.91492216515162</v>
      </c>
      <c r="AK69" s="25">
        <v>88.20235413751034</v>
      </c>
      <c r="AL69" s="26">
        <v>85.9794368763056</v>
      </c>
      <c r="AM69" s="24">
        <v>98.539781056401</v>
      </c>
      <c r="AN69" s="25">
        <v>116.29123136956184</v>
      </c>
      <c r="AO69" s="26">
        <v>114.0683141083571</v>
      </c>
      <c r="AP69" s="6"/>
      <c r="AQ69" s="24">
        <v>179.82773557072974</v>
      </c>
      <c r="AR69" s="25">
        <v>184.40031178719684</v>
      </c>
      <c r="AS69" s="24">
        <v>208.71996794572726</v>
      </c>
      <c r="AT69" s="25">
        <v>217.37298375406735</v>
      </c>
      <c r="AU69" s="24">
        <v>237.61220032072475</v>
      </c>
      <c r="AV69" s="26">
        <v>250.3456557209379</v>
      </c>
      <c r="AW69" s="4"/>
    </row>
    <row r="70" spans="1:49" ht="12.75">
      <c r="A70" s="4"/>
      <c r="B70" s="23">
        <v>2073</v>
      </c>
      <c r="C70" s="24">
        <f t="shared" si="8"/>
        <v>19.49290894460688</v>
      </c>
      <c r="D70" s="25">
        <f t="shared" si="8"/>
        <v>13.673996623347326</v>
      </c>
      <c r="E70" s="26">
        <f t="shared" si="8"/>
        <v>12.355928325080106</v>
      </c>
      <c r="F70" s="24">
        <f t="shared" si="8"/>
        <v>20.891544067896923</v>
      </c>
      <c r="G70" s="25">
        <f t="shared" si="8"/>
        <v>14.833993331448342</v>
      </c>
      <c r="H70" s="26">
        <f t="shared" si="8"/>
        <v>13.472085118883394</v>
      </c>
      <c r="I70" s="24">
        <f t="shared" si="8"/>
        <v>22.88101564347839</v>
      </c>
      <c r="J70" s="25">
        <f t="shared" si="8"/>
        <v>16.519455350502195</v>
      </c>
      <c r="K70" s="26">
        <f t="shared" si="8"/>
        <v>15.113463068933347</v>
      </c>
      <c r="L70" s="6"/>
      <c r="M70" s="24">
        <f t="shared" si="9"/>
        <v>3.9235280614140797</v>
      </c>
      <c r="N70" s="25">
        <f t="shared" si="9"/>
        <v>2.5191456921584607</v>
      </c>
      <c r="O70" s="26">
        <f t="shared" si="9"/>
        <v>1.9887169938200555</v>
      </c>
      <c r="P70" s="24">
        <f t="shared" si="9"/>
        <v>5.2312688122162685</v>
      </c>
      <c r="Q70" s="25">
        <f t="shared" si="9"/>
        <v>3.737658126033881</v>
      </c>
      <c r="R70" s="26">
        <f t="shared" si="9"/>
        <v>3.2072294276954754</v>
      </c>
      <c r="S70" s="24">
        <f t="shared" si="9"/>
        <v>6.5389219546478135</v>
      </c>
      <c r="T70" s="25">
        <f t="shared" si="9"/>
        <v>4.956170559909303</v>
      </c>
      <c r="U70" s="26">
        <f t="shared" si="9"/>
        <v>4.425741861570897</v>
      </c>
      <c r="V70" s="6"/>
      <c r="W70" s="24">
        <v>3.7304826911275164</v>
      </c>
      <c r="X70" s="25">
        <v>1.632907304809618</v>
      </c>
      <c r="Y70" s="26">
        <v>1.1341222804863542</v>
      </c>
      <c r="Z70" s="24">
        <v>4.070781115966832</v>
      </c>
      <c r="AA70" s="25">
        <v>1.9063711156597491</v>
      </c>
      <c r="AB70" s="26">
        <v>1.4075860913364857</v>
      </c>
      <c r="AC70" s="24">
        <v>5.049424089351734</v>
      </c>
      <c r="AD70" s="25">
        <v>2.2961251849444886</v>
      </c>
      <c r="AE70" s="26">
        <v>1.7973401606212245</v>
      </c>
      <c r="AF70" s="6"/>
      <c r="AG70" s="24">
        <v>43.2900632739023</v>
      </c>
      <c r="AH70" s="25">
        <v>60.341844107540446</v>
      </c>
      <c r="AI70" s="26">
        <v>58.11892684633571</v>
      </c>
      <c r="AJ70" s="24">
        <v>70.91492216515162</v>
      </c>
      <c r="AK70" s="25">
        <v>88.43072133959195</v>
      </c>
      <c r="AL70" s="26">
        <v>86.20780407838721</v>
      </c>
      <c r="AM70" s="24">
        <v>98.539781056401</v>
      </c>
      <c r="AN70" s="25">
        <v>116.51959857164346</v>
      </c>
      <c r="AO70" s="26">
        <v>114.29668131043871</v>
      </c>
      <c r="AP70" s="6"/>
      <c r="AQ70" s="24">
        <v>181.2532881050885</v>
      </c>
      <c r="AR70" s="25">
        <v>185.82586432155557</v>
      </c>
      <c r="AS70" s="24">
        <v>210.14552048008593</v>
      </c>
      <c r="AT70" s="25">
        <v>218.79853628842605</v>
      </c>
      <c r="AU70" s="24">
        <v>239.03775285508343</v>
      </c>
      <c r="AV70" s="26">
        <v>251.77120825529659</v>
      </c>
      <c r="AW70" s="4"/>
    </row>
    <row r="71" spans="1:49" ht="12.75">
      <c r="A71" s="4"/>
      <c r="B71" s="23">
        <v>2074</v>
      </c>
      <c r="C71" s="24">
        <f t="shared" si="8"/>
        <v>19.49290894460688</v>
      </c>
      <c r="D71" s="25">
        <f t="shared" si="8"/>
        <v>13.673996623347326</v>
      </c>
      <c r="E71" s="26">
        <f t="shared" si="8"/>
        <v>12.355928325080106</v>
      </c>
      <c r="F71" s="24">
        <f t="shared" si="8"/>
        <v>20.891544067896923</v>
      </c>
      <c r="G71" s="25">
        <f t="shared" si="8"/>
        <v>14.833993331448342</v>
      </c>
      <c r="H71" s="26">
        <f t="shared" si="8"/>
        <v>13.472085118883394</v>
      </c>
      <c r="I71" s="24">
        <f t="shared" si="8"/>
        <v>22.88101564347839</v>
      </c>
      <c r="J71" s="25">
        <f t="shared" si="8"/>
        <v>16.519455350502195</v>
      </c>
      <c r="K71" s="26">
        <f t="shared" si="8"/>
        <v>15.113463068933347</v>
      </c>
      <c r="L71" s="6"/>
      <c r="M71" s="24">
        <f t="shared" si="9"/>
        <v>3.9235280614140797</v>
      </c>
      <c r="N71" s="25">
        <f t="shared" si="9"/>
        <v>2.5191456921584607</v>
      </c>
      <c r="O71" s="26">
        <f t="shared" si="9"/>
        <v>1.9887169938200555</v>
      </c>
      <c r="P71" s="24">
        <f t="shared" si="9"/>
        <v>5.2312688122162685</v>
      </c>
      <c r="Q71" s="25">
        <f t="shared" si="9"/>
        <v>3.737658126033881</v>
      </c>
      <c r="R71" s="26">
        <f t="shared" si="9"/>
        <v>3.2072294276954754</v>
      </c>
      <c r="S71" s="24">
        <f t="shared" si="9"/>
        <v>6.5389219546478135</v>
      </c>
      <c r="T71" s="25">
        <f t="shared" si="9"/>
        <v>4.956170559909303</v>
      </c>
      <c r="U71" s="26">
        <f t="shared" si="9"/>
        <v>4.425741861570897</v>
      </c>
      <c r="V71" s="6"/>
      <c r="W71" s="24">
        <v>3.7304826911275164</v>
      </c>
      <c r="X71" s="25">
        <v>1.6390724822754843</v>
      </c>
      <c r="Y71" s="26">
        <v>1.13586349779264</v>
      </c>
      <c r="Z71" s="24">
        <v>4.070781115966832</v>
      </c>
      <c r="AA71" s="25">
        <v>1.9125362931256158</v>
      </c>
      <c r="AB71" s="26">
        <v>1.4093273086427716</v>
      </c>
      <c r="AC71" s="24">
        <v>5.049424089351734</v>
      </c>
      <c r="AD71" s="25">
        <v>2.3022903624103543</v>
      </c>
      <c r="AE71" s="26">
        <v>1.79908137792751</v>
      </c>
      <c r="AF71" s="6"/>
      <c r="AG71" s="24">
        <v>43.2900632739023</v>
      </c>
      <c r="AH71" s="25">
        <v>60.57266927363665</v>
      </c>
      <c r="AI71" s="26">
        <v>58.34975201243192</v>
      </c>
      <c r="AJ71" s="24">
        <v>70.91492216515162</v>
      </c>
      <c r="AK71" s="25">
        <v>88.66154650568815</v>
      </c>
      <c r="AL71" s="26">
        <v>86.43862924448342</v>
      </c>
      <c r="AM71" s="24">
        <v>98.539781056401</v>
      </c>
      <c r="AN71" s="25">
        <v>116.75042373773965</v>
      </c>
      <c r="AO71" s="26">
        <v>114.52750647653491</v>
      </c>
      <c r="AP71" s="6"/>
      <c r="AQ71" s="24">
        <v>182.69418415987565</v>
      </c>
      <c r="AR71" s="25">
        <v>187.26676037634277</v>
      </c>
      <c r="AS71" s="24">
        <v>211.5864165348732</v>
      </c>
      <c r="AT71" s="25">
        <v>220.23943234321328</v>
      </c>
      <c r="AU71" s="24">
        <v>240.47864890987069</v>
      </c>
      <c r="AV71" s="26">
        <v>253.2121043100838</v>
      </c>
      <c r="AW71" s="4"/>
    </row>
    <row r="72" spans="1:49" ht="12.75">
      <c r="A72" s="4"/>
      <c r="B72" s="23">
        <v>2075</v>
      </c>
      <c r="C72" s="24">
        <f t="shared" si="8"/>
        <v>19.49290894460688</v>
      </c>
      <c r="D72" s="25">
        <f t="shared" si="8"/>
        <v>13.673996623347326</v>
      </c>
      <c r="E72" s="26">
        <f t="shared" si="8"/>
        <v>12.355928325080106</v>
      </c>
      <c r="F72" s="24">
        <f t="shared" si="8"/>
        <v>20.891544067896923</v>
      </c>
      <c r="G72" s="25">
        <f t="shared" si="8"/>
        <v>14.833993331448342</v>
      </c>
      <c r="H72" s="26">
        <f t="shared" si="8"/>
        <v>13.472085118883394</v>
      </c>
      <c r="I72" s="24">
        <f t="shared" si="8"/>
        <v>22.88101564347839</v>
      </c>
      <c r="J72" s="25">
        <f t="shared" si="8"/>
        <v>16.519455350502195</v>
      </c>
      <c r="K72" s="26">
        <f t="shared" si="8"/>
        <v>15.113463068933347</v>
      </c>
      <c r="L72" s="6"/>
      <c r="M72" s="24">
        <f t="shared" si="9"/>
        <v>3.9235280614140797</v>
      </c>
      <c r="N72" s="25">
        <f t="shared" si="9"/>
        <v>2.5191456921584607</v>
      </c>
      <c r="O72" s="26">
        <f t="shared" si="9"/>
        <v>1.9887169938200555</v>
      </c>
      <c r="P72" s="24">
        <f t="shared" si="9"/>
        <v>5.2312688122162685</v>
      </c>
      <c r="Q72" s="25">
        <f t="shared" si="9"/>
        <v>3.737658126033881</v>
      </c>
      <c r="R72" s="26">
        <f t="shared" si="9"/>
        <v>3.2072294276954754</v>
      </c>
      <c r="S72" s="24">
        <f t="shared" si="9"/>
        <v>6.5389219546478135</v>
      </c>
      <c r="T72" s="25">
        <f t="shared" si="9"/>
        <v>4.956170559909303</v>
      </c>
      <c r="U72" s="26">
        <f t="shared" si="9"/>
        <v>4.425741861570897</v>
      </c>
      <c r="V72" s="6"/>
      <c r="W72" s="24">
        <v>3.7304826911275164</v>
      </c>
      <c r="X72" s="25">
        <v>1.645304016837363</v>
      </c>
      <c r="Y72" s="26">
        <v>1.1376234561853928</v>
      </c>
      <c r="Z72" s="24">
        <v>4.070781115966832</v>
      </c>
      <c r="AA72" s="25">
        <v>1.9187678276874944</v>
      </c>
      <c r="AB72" s="26">
        <v>1.411087267035524</v>
      </c>
      <c r="AC72" s="24">
        <v>5.049424089351734</v>
      </c>
      <c r="AD72" s="25">
        <v>2.3085218969722328</v>
      </c>
      <c r="AE72" s="26">
        <v>1.800841336320263</v>
      </c>
      <c r="AF72" s="6"/>
      <c r="AG72" s="24">
        <v>43.2900632739023</v>
      </c>
      <c r="AH72" s="25">
        <v>60.80597885932879</v>
      </c>
      <c r="AI72" s="26">
        <v>58.583061598124054</v>
      </c>
      <c r="AJ72" s="24">
        <v>70.91492216515162</v>
      </c>
      <c r="AK72" s="25">
        <v>88.89485609138029</v>
      </c>
      <c r="AL72" s="26">
        <v>86.67193883017556</v>
      </c>
      <c r="AM72" s="24">
        <v>98.539781056401</v>
      </c>
      <c r="AN72" s="25">
        <v>116.98373332343179</v>
      </c>
      <c r="AO72" s="26">
        <v>114.76081606222705</v>
      </c>
      <c r="AP72" s="6"/>
      <c r="AQ72" s="24">
        <v>184.15058888061466</v>
      </c>
      <c r="AR72" s="25">
        <v>188.72316509708176</v>
      </c>
      <c r="AS72" s="24">
        <v>213.04282125561215</v>
      </c>
      <c r="AT72" s="25">
        <v>221.69583706395227</v>
      </c>
      <c r="AU72" s="24">
        <v>241.93505363060962</v>
      </c>
      <c r="AV72" s="26">
        <v>254.6685090308228</v>
      </c>
      <c r="AW72" s="4"/>
    </row>
    <row r="73" spans="1:49" ht="12.75">
      <c r="A73" s="4"/>
      <c r="B73" s="23">
        <v>2076</v>
      </c>
      <c r="C73" s="24">
        <f t="shared" si="8"/>
        <v>19.49290894460688</v>
      </c>
      <c r="D73" s="25">
        <f t="shared" si="8"/>
        <v>13.673996623347326</v>
      </c>
      <c r="E73" s="26">
        <f t="shared" si="8"/>
        <v>12.355928325080106</v>
      </c>
      <c r="F73" s="24">
        <f t="shared" si="8"/>
        <v>20.891544067896923</v>
      </c>
      <c r="G73" s="25">
        <f t="shared" si="8"/>
        <v>14.833993331448342</v>
      </c>
      <c r="H73" s="26">
        <f t="shared" si="8"/>
        <v>13.472085118883394</v>
      </c>
      <c r="I73" s="24">
        <f t="shared" si="8"/>
        <v>22.88101564347839</v>
      </c>
      <c r="J73" s="25">
        <f t="shared" si="8"/>
        <v>16.519455350502195</v>
      </c>
      <c r="K73" s="26">
        <f t="shared" si="8"/>
        <v>15.113463068933347</v>
      </c>
      <c r="L73" s="6"/>
      <c r="M73" s="24">
        <f t="shared" si="9"/>
        <v>3.9235280614140797</v>
      </c>
      <c r="N73" s="25">
        <f t="shared" si="9"/>
        <v>2.5191456921584607</v>
      </c>
      <c r="O73" s="26">
        <f t="shared" si="9"/>
        <v>1.9887169938200555</v>
      </c>
      <c r="P73" s="24">
        <f t="shared" si="9"/>
        <v>5.2312688122162685</v>
      </c>
      <c r="Q73" s="25">
        <f t="shared" si="9"/>
        <v>3.737658126033881</v>
      </c>
      <c r="R73" s="26">
        <f t="shared" si="9"/>
        <v>3.2072294276954754</v>
      </c>
      <c r="S73" s="24">
        <f t="shared" si="9"/>
        <v>6.5389219546478135</v>
      </c>
      <c r="T73" s="25">
        <f t="shared" si="9"/>
        <v>4.956170559909303</v>
      </c>
      <c r="U73" s="26">
        <f t="shared" si="9"/>
        <v>4.425741861570897</v>
      </c>
      <c r="V73" s="6"/>
      <c r="W73" s="24">
        <v>3.7304826911275164</v>
      </c>
      <c r="X73" s="25">
        <v>1.651602622710573</v>
      </c>
      <c r="Y73" s="26">
        <v>1.1394023573788505</v>
      </c>
      <c r="Z73" s="24">
        <v>4.070781115966832</v>
      </c>
      <c r="AA73" s="25">
        <v>1.9250664335607044</v>
      </c>
      <c r="AB73" s="26">
        <v>1.412866168228982</v>
      </c>
      <c r="AC73" s="24">
        <v>5.049424089351734</v>
      </c>
      <c r="AD73" s="25">
        <v>2.314820502845443</v>
      </c>
      <c r="AE73" s="26">
        <v>1.8026202375137206</v>
      </c>
      <c r="AF73" s="6"/>
      <c r="AG73" s="24">
        <v>43.2900632739023</v>
      </c>
      <c r="AH73" s="25">
        <v>61.04179960494522</v>
      </c>
      <c r="AI73" s="26">
        <v>58.81888234374049</v>
      </c>
      <c r="AJ73" s="24">
        <v>70.91492216515162</v>
      </c>
      <c r="AK73" s="25">
        <v>89.13067683699671</v>
      </c>
      <c r="AL73" s="26">
        <v>86.90775957579199</v>
      </c>
      <c r="AM73" s="24">
        <v>98.539781056401</v>
      </c>
      <c r="AN73" s="25">
        <v>117.21955406904821</v>
      </c>
      <c r="AO73" s="26">
        <v>114.99663680784347</v>
      </c>
      <c r="AP73" s="6"/>
      <c r="AQ73" s="24">
        <v>185.62266919032436</v>
      </c>
      <c r="AR73" s="25">
        <v>190.19524540679146</v>
      </c>
      <c r="AS73" s="24">
        <v>214.51490156532182</v>
      </c>
      <c r="AT73" s="25">
        <v>223.16791737366196</v>
      </c>
      <c r="AU73" s="24">
        <v>243.40713394031928</v>
      </c>
      <c r="AV73" s="26">
        <v>256.1405893405325</v>
      </c>
      <c r="AW73" s="4"/>
    </row>
    <row r="74" spans="1:49" ht="12.75">
      <c r="A74" s="4"/>
      <c r="B74" s="23">
        <v>2077</v>
      </c>
      <c r="C74" s="24">
        <f t="shared" si="8"/>
        <v>19.49290894460688</v>
      </c>
      <c r="D74" s="25">
        <f t="shared" si="8"/>
        <v>13.673996623347326</v>
      </c>
      <c r="E74" s="26">
        <f t="shared" si="8"/>
        <v>12.355928325080106</v>
      </c>
      <c r="F74" s="24">
        <f t="shared" si="8"/>
        <v>20.891544067896923</v>
      </c>
      <c r="G74" s="25">
        <f t="shared" si="8"/>
        <v>14.833993331448342</v>
      </c>
      <c r="H74" s="26">
        <f t="shared" si="8"/>
        <v>13.472085118883394</v>
      </c>
      <c r="I74" s="24">
        <f t="shared" si="8"/>
        <v>22.88101564347839</v>
      </c>
      <c r="J74" s="25">
        <f t="shared" si="8"/>
        <v>16.519455350502195</v>
      </c>
      <c r="K74" s="26">
        <f t="shared" si="8"/>
        <v>15.113463068933347</v>
      </c>
      <c r="L74" s="6"/>
      <c r="M74" s="24">
        <f t="shared" si="9"/>
        <v>3.9235280614140797</v>
      </c>
      <c r="N74" s="25">
        <f t="shared" si="9"/>
        <v>2.5191456921584607</v>
      </c>
      <c r="O74" s="26">
        <f t="shared" si="9"/>
        <v>1.9887169938200555</v>
      </c>
      <c r="P74" s="24">
        <f t="shared" si="9"/>
        <v>5.2312688122162685</v>
      </c>
      <c r="Q74" s="25">
        <f t="shared" si="9"/>
        <v>3.737658126033881</v>
      </c>
      <c r="R74" s="26">
        <f t="shared" si="9"/>
        <v>3.2072294276954754</v>
      </c>
      <c r="S74" s="24">
        <f t="shared" si="9"/>
        <v>6.5389219546478135</v>
      </c>
      <c r="T74" s="25">
        <f t="shared" si="9"/>
        <v>4.956170559909303</v>
      </c>
      <c r="U74" s="26">
        <f t="shared" si="9"/>
        <v>4.425741861570897</v>
      </c>
      <c r="V74" s="6"/>
      <c r="W74" s="24">
        <v>3.7304826911275164</v>
      </c>
      <c r="X74" s="25">
        <v>1.6579690217976826</v>
      </c>
      <c r="Y74" s="26">
        <v>1.1412004052583433</v>
      </c>
      <c r="Z74" s="24">
        <v>4.070781115966832</v>
      </c>
      <c r="AA74" s="25">
        <v>1.9314328326478136</v>
      </c>
      <c r="AB74" s="26">
        <v>1.4146642161084748</v>
      </c>
      <c r="AC74" s="24">
        <v>5.049424089351734</v>
      </c>
      <c r="AD74" s="25">
        <v>2.321186901932553</v>
      </c>
      <c r="AE74" s="26">
        <v>1.8044182853932138</v>
      </c>
      <c r="AF74" s="6"/>
      <c r="AG74" s="24">
        <v>43.2900632739023</v>
      </c>
      <c r="AH74" s="25">
        <v>61.28015853862601</v>
      </c>
      <c r="AI74" s="26">
        <v>59.057241277421284</v>
      </c>
      <c r="AJ74" s="24">
        <v>70.91492216515162</v>
      </c>
      <c r="AK74" s="25">
        <v>89.36903577067751</v>
      </c>
      <c r="AL74" s="26">
        <v>87.14611850947279</v>
      </c>
      <c r="AM74" s="24">
        <v>98.539781056401</v>
      </c>
      <c r="AN74" s="25">
        <v>117.45791300272901</v>
      </c>
      <c r="AO74" s="26">
        <v>115.23499574152426</v>
      </c>
      <c r="AP74" s="6"/>
      <c r="AQ74" s="24">
        <v>187.1105938086513</v>
      </c>
      <c r="AR74" s="25">
        <v>191.6831700251184</v>
      </c>
      <c r="AS74" s="24">
        <v>216.00282618364878</v>
      </c>
      <c r="AT74" s="25">
        <v>224.6558419919889</v>
      </c>
      <c r="AU74" s="24">
        <v>244.8950585586463</v>
      </c>
      <c r="AV74" s="26">
        <v>257.62851395885946</v>
      </c>
      <c r="AW74" s="4"/>
    </row>
    <row r="75" spans="1:49" ht="12.75">
      <c r="A75" s="4"/>
      <c r="B75" s="23">
        <v>2078</v>
      </c>
      <c r="C75" s="24">
        <f t="shared" si="8"/>
        <v>19.49290894460688</v>
      </c>
      <c r="D75" s="25">
        <f t="shared" si="8"/>
        <v>13.673996623347326</v>
      </c>
      <c r="E75" s="26">
        <f t="shared" si="8"/>
        <v>12.355928325080106</v>
      </c>
      <c r="F75" s="24">
        <f t="shared" si="8"/>
        <v>20.891544067896923</v>
      </c>
      <c r="G75" s="25">
        <f t="shared" si="8"/>
        <v>14.833993331448342</v>
      </c>
      <c r="H75" s="26">
        <f t="shared" si="8"/>
        <v>13.472085118883394</v>
      </c>
      <c r="I75" s="24">
        <f t="shared" si="8"/>
        <v>22.88101564347839</v>
      </c>
      <c r="J75" s="25">
        <f t="shared" si="8"/>
        <v>16.519455350502195</v>
      </c>
      <c r="K75" s="26">
        <f t="shared" si="8"/>
        <v>15.113463068933347</v>
      </c>
      <c r="L75" s="6"/>
      <c r="M75" s="24">
        <f t="shared" si="9"/>
        <v>3.9235280614140797</v>
      </c>
      <c r="N75" s="25">
        <f t="shared" si="9"/>
        <v>2.5191456921584607</v>
      </c>
      <c r="O75" s="26">
        <f t="shared" si="9"/>
        <v>1.9887169938200555</v>
      </c>
      <c r="P75" s="24">
        <f t="shared" si="9"/>
        <v>5.2312688122162685</v>
      </c>
      <c r="Q75" s="25">
        <f t="shared" si="9"/>
        <v>3.737658126033881</v>
      </c>
      <c r="R75" s="26">
        <f t="shared" si="9"/>
        <v>3.2072294276954754</v>
      </c>
      <c r="S75" s="24">
        <f t="shared" si="9"/>
        <v>6.5389219546478135</v>
      </c>
      <c r="T75" s="25">
        <f t="shared" si="9"/>
        <v>4.956170559909303</v>
      </c>
      <c r="U75" s="26">
        <f t="shared" si="9"/>
        <v>4.425741861570897</v>
      </c>
      <c r="V75" s="6"/>
      <c r="W75" s="24">
        <v>3.7304826911275164</v>
      </c>
      <c r="X75" s="25">
        <v>1.6644039437712481</v>
      </c>
      <c r="Y75" s="26">
        <v>1.1430178059036624</v>
      </c>
      <c r="Z75" s="24">
        <v>4.070781115966832</v>
      </c>
      <c r="AA75" s="25">
        <v>1.9378677546213794</v>
      </c>
      <c r="AB75" s="26">
        <v>1.416481616753794</v>
      </c>
      <c r="AC75" s="24">
        <v>5.049424089351734</v>
      </c>
      <c r="AD75" s="25">
        <v>2.3276218239061186</v>
      </c>
      <c r="AE75" s="26">
        <v>1.8062356860385325</v>
      </c>
      <c r="AF75" s="6"/>
      <c r="AG75" s="24">
        <v>43.2900632739023</v>
      </c>
      <c r="AH75" s="25">
        <v>61.52108297942078</v>
      </c>
      <c r="AI75" s="26">
        <v>59.298165718216055</v>
      </c>
      <c r="AJ75" s="24">
        <v>70.91492216515162</v>
      </c>
      <c r="AK75" s="25">
        <v>89.60996021147228</v>
      </c>
      <c r="AL75" s="26">
        <v>87.38704295026756</v>
      </c>
      <c r="AM75" s="24">
        <v>98.539781056401</v>
      </c>
      <c r="AN75" s="25">
        <v>117.69883744352379</v>
      </c>
      <c r="AO75" s="26">
        <v>115.47592018231904</v>
      </c>
      <c r="AP75" s="6"/>
      <c r="AQ75" s="24">
        <v>188.6145332712068</v>
      </c>
      <c r="AR75" s="25">
        <v>193.1871094876739</v>
      </c>
      <c r="AS75" s="24">
        <v>217.50676564620431</v>
      </c>
      <c r="AT75" s="25">
        <v>226.1597814545444</v>
      </c>
      <c r="AU75" s="24">
        <v>246.3989980212018</v>
      </c>
      <c r="AV75" s="26">
        <v>259.13245342141494</v>
      </c>
      <c r="AW75" s="4"/>
    </row>
    <row r="76" spans="1:49" ht="12.75">
      <c r="A76" s="4"/>
      <c r="B76" s="23">
        <v>2079</v>
      </c>
      <c r="C76" s="24">
        <f t="shared" si="8"/>
        <v>19.49290894460688</v>
      </c>
      <c r="D76" s="25">
        <f t="shared" si="8"/>
        <v>13.673996623347326</v>
      </c>
      <c r="E76" s="26">
        <f t="shared" si="8"/>
        <v>12.355928325080106</v>
      </c>
      <c r="F76" s="24">
        <f t="shared" si="8"/>
        <v>20.891544067896923</v>
      </c>
      <c r="G76" s="25">
        <f t="shared" si="8"/>
        <v>14.833993331448342</v>
      </c>
      <c r="H76" s="26">
        <f t="shared" si="8"/>
        <v>13.472085118883394</v>
      </c>
      <c r="I76" s="24">
        <f t="shared" si="8"/>
        <v>22.88101564347839</v>
      </c>
      <c r="J76" s="25">
        <f t="shared" si="8"/>
        <v>16.519455350502195</v>
      </c>
      <c r="K76" s="26">
        <f t="shared" si="8"/>
        <v>15.113463068933347</v>
      </c>
      <c r="L76" s="6"/>
      <c r="M76" s="24">
        <f t="shared" si="9"/>
        <v>3.9235280614140797</v>
      </c>
      <c r="N76" s="25">
        <f t="shared" si="9"/>
        <v>2.5191456921584607</v>
      </c>
      <c r="O76" s="26">
        <f t="shared" si="9"/>
        <v>1.9887169938200555</v>
      </c>
      <c r="P76" s="24">
        <f t="shared" si="9"/>
        <v>5.2312688122162685</v>
      </c>
      <c r="Q76" s="25">
        <f t="shared" si="9"/>
        <v>3.737658126033881</v>
      </c>
      <c r="R76" s="26">
        <f t="shared" si="9"/>
        <v>3.2072294276954754</v>
      </c>
      <c r="S76" s="24">
        <f t="shared" si="9"/>
        <v>6.5389219546478135</v>
      </c>
      <c r="T76" s="25">
        <f t="shared" si="9"/>
        <v>4.956170559909303</v>
      </c>
      <c r="U76" s="26">
        <f t="shared" si="9"/>
        <v>4.425741861570897</v>
      </c>
      <c r="V76" s="6"/>
      <c r="W76" s="24">
        <v>3.7304826911275164</v>
      </c>
      <c r="X76" s="25">
        <v>1.670908126157445</v>
      </c>
      <c r="Y76" s="26">
        <v>1.1448547676126786</v>
      </c>
      <c r="Z76" s="24">
        <v>4.070781115966832</v>
      </c>
      <c r="AA76" s="25">
        <v>1.9443719370075765</v>
      </c>
      <c r="AB76" s="26">
        <v>1.41831857846281</v>
      </c>
      <c r="AC76" s="24">
        <v>5.049424089351734</v>
      </c>
      <c r="AD76" s="25">
        <v>2.334126006292315</v>
      </c>
      <c r="AE76" s="26">
        <v>1.808072647747549</v>
      </c>
      <c r="AF76" s="6"/>
      <c r="AG76" s="24">
        <v>43.2900632739023</v>
      </c>
      <c r="AH76" s="25">
        <v>61.7646005404198</v>
      </c>
      <c r="AI76" s="26">
        <v>59.541683279215064</v>
      </c>
      <c r="AJ76" s="24">
        <v>70.91492216515162</v>
      </c>
      <c r="AK76" s="25">
        <v>89.85347777247131</v>
      </c>
      <c r="AL76" s="26">
        <v>87.63056051126657</v>
      </c>
      <c r="AM76" s="24">
        <v>98.539781056401</v>
      </c>
      <c r="AN76" s="25">
        <v>117.94235500452281</v>
      </c>
      <c r="AO76" s="26">
        <v>115.71943774331807</v>
      </c>
      <c r="AP76" s="6"/>
      <c r="AQ76" s="24">
        <v>190.13465994911272</v>
      </c>
      <c r="AR76" s="25">
        <v>194.70723616557981</v>
      </c>
      <c r="AS76" s="24">
        <v>219.02689232411024</v>
      </c>
      <c r="AT76" s="25">
        <v>227.67990813245032</v>
      </c>
      <c r="AU76" s="24">
        <v>247.9191246991077</v>
      </c>
      <c r="AV76" s="26">
        <v>260.65258009932086</v>
      </c>
      <c r="AW76" s="4"/>
    </row>
    <row r="77" spans="1:49" ht="12.75">
      <c r="A77" s="4"/>
      <c r="B77" s="23">
        <v>2080</v>
      </c>
      <c r="C77" s="24">
        <f aca="true" t="shared" si="10" ref="C77:K92">C76</f>
        <v>19.49290894460688</v>
      </c>
      <c r="D77" s="25">
        <f t="shared" si="10"/>
        <v>13.673996623347326</v>
      </c>
      <c r="E77" s="26">
        <f t="shared" si="10"/>
        <v>12.355928325080106</v>
      </c>
      <c r="F77" s="24">
        <f t="shared" si="10"/>
        <v>20.891544067896923</v>
      </c>
      <c r="G77" s="25">
        <f t="shared" si="10"/>
        <v>14.833993331448342</v>
      </c>
      <c r="H77" s="26">
        <f t="shared" si="10"/>
        <v>13.472085118883394</v>
      </c>
      <c r="I77" s="24">
        <f t="shared" si="10"/>
        <v>22.88101564347839</v>
      </c>
      <c r="J77" s="25">
        <f t="shared" si="10"/>
        <v>16.519455350502195</v>
      </c>
      <c r="K77" s="26">
        <f t="shared" si="10"/>
        <v>15.113463068933347</v>
      </c>
      <c r="L77" s="6"/>
      <c r="M77" s="24">
        <f aca="true" t="shared" si="11" ref="M77:U92">M76</f>
        <v>3.9235280614140797</v>
      </c>
      <c r="N77" s="25">
        <f t="shared" si="11"/>
        <v>2.5191456921584607</v>
      </c>
      <c r="O77" s="26">
        <f t="shared" si="11"/>
        <v>1.9887169938200555</v>
      </c>
      <c r="P77" s="24">
        <f t="shared" si="11"/>
        <v>5.2312688122162685</v>
      </c>
      <c r="Q77" s="25">
        <f t="shared" si="11"/>
        <v>3.737658126033881</v>
      </c>
      <c r="R77" s="26">
        <f t="shared" si="11"/>
        <v>3.2072294276954754</v>
      </c>
      <c r="S77" s="24">
        <f t="shared" si="11"/>
        <v>6.5389219546478135</v>
      </c>
      <c r="T77" s="25">
        <f t="shared" si="11"/>
        <v>4.956170559909303</v>
      </c>
      <c r="U77" s="26">
        <f t="shared" si="11"/>
        <v>4.425741861570897</v>
      </c>
      <c r="V77" s="6"/>
      <c r="W77" s="24">
        <v>3.7304826911275164</v>
      </c>
      <c r="X77" s="25">
        <v>1.677482314420597</v>
      </c>
      <c r="Y77" s="26">
        <v>1.146711500925217</v>
      </c>
      <c r="Z77" s="24">
        <v>4.070781115966832</v>
      </c>
      <c r="AA77" s="25">
        <v>1.950946125270729</v>
      </c>
      <c r="AB77" s="26">
        <v>1.4201753117753482</v>
      </c>
      <c r="AC77" s="24">
        <v>5.049424089351734</v>
      </c>
      <c r="AD77" s="25">
        <v>2.3407001945554677</v>
      </c>
      <c r="AE77" s="26">
        <v>1.8099293810600867</v>
      </c>
      <c r="AF77" s="6"/>
      <c r="AG77" s="24">
        <v>43.2900632739023</v>
      </c>
      <c r="AH77" s="25">
        <v>62.010739131918825</v>
      </c>
      <c r="AI77" s="26">
        <v>59.78782187071409</v>
      </c>
      <c r="AJ77" s="24">
        <v>70.91492216515162</v>
      </c>
      <c r="AK77" s="25">
        <v>90.09961636397031</v>
      </c>
      <c r="AL77" s="26">
        <v>87.87669910276558</v>
      </c>
      <c r="AM77" s="24">
        <v>98.539781056401</v>
      </c>
      <c r="AN77" s="25">
        <v>118.18849359602181</v>
      </c>
      <c r="AO77" s="26">
        <v>115.96557633481707</v>
      </c>
      <c r="AP77" s="6"/>
      <c r="AQ77" s="24">
        <v>191.67114806875736</v>
      </c>
      <c r="AR77" s="25">
        <v>196.24372428522452</v>
      </c>
      <c r="AS77" s="24">
        <v>220.5633804437549</v>
      </c>
      <c r="AT77" s="25">
        <v>229.21639625209497</v>
      </c>
      <c r="AU77" s="24">
        <v>249.45561281875237</v>
      </c>
      <c r="AV77" s="26">
        <v>262.18906821896553</v>
      </c>
      <c r="AW77" s="4"/>
    </row>
    <row r="78" spans="1:49" ht="12.75">
      <c r="A78" s="4"/>
      <c r="B78" s="23">
        <v>2081</v>
      </c>
      <c r="C78" s="24">
        <f t="shared" si="10"/>
        <v>19.49290894460688</v>
      </c>
      <c r="D78" s="25">
        <f t="shared" si="10"/>
        <v>13.673996623347326</v>
      </c>
      <c r="E78" s="26">
        <f t="shared" si="10"/>
        <v>12.355928325080106</v>
      </c>
      <c r="F78" s="24">
        <f t="shared" si="10"/>
        <v>20.891544067896923</v>
      </c>
      <c r="G78" s="25">
        <f t="shared" si="10"/>
        <v>14.833993331448342</v>
      </c>
      <c r="H78" s="26">
        <f t="shared" si="10"/>
        <v>13.472085118883394</v>
      </c>
      <c r="I78" s="24">
        <f t="shared" si="10"/>
        <v>22.88101564347839</v>
      </c>
      <c r="J78" s="25">
        <f t="shared" si="10"/>
        <v>16.519455350502195</v>
      </c>
      <c r="K78" s="26">
        <f t="shared" si="10"/>
        <v>15.113463068933347</v>
      </c>
      <c r="L78" s="6"/>
      <c r="M78" s="24">
        <f t="shared" si="11"/>
        <v>3.9235280614140797</v>
      </c>
      <c r="N78" s="25">
        <f t="shared" si="11"/>
        <v>2.5191456921584607</v>
      </c>
      <c r="O78" s="26">
        <f t="shared" si="11"/>
        <v>1.9887169938200555</v>
      </c>
      <c r="P78" s="24">
        <f t="shared" si="11"/>
        <v>5.2312688122162685</v>
      </c>
      <c r="Q78" s="25">
        <f t="shared" si="11"/>
        <v>3.737658126033881</v>
      </c>
      <c r="R78" s="26">
        <f t="shared" si="11"/>
        <v>3.2072294276954754</v>
      </c>
      <c r="S78" s="24">
        <f t="shared" si="11"/>
        <v>6.5389219546478135</v>
      </c>
      <c r="T78" s="25">
        <f t="shared" si="11"/>
        <v>4.956170559909303</v>
      </c>
      <c r="U78" s="26">
        <f t="shared" si="11"/>
        <v>4.425741861570897</v>
      </c>
      <c r="V78" s="6"/>
      <c r="W78" s="24">
        <v>3.7304826911275164</v>
      </c>
      <c r="X78" s="25">
        <v>1.6841272620486167</v>
      </c>
      <c r="Y78" s="26">
        <v>1.1485882186471854</v>
      </c>
      <c r="Z78" s="24">
        <v>4.070781115966832</v>
      </c>
      <c r="AA78" s="25">
        <v>1.9575910728987482</v>
      </c>
      <c r="AB78" s="26">
        <v>1.422052029497317</v>
      </c>
      <c r="AC78" s="24">
        <v>5.049424089351734</v>
      </c>
      <c r="AD78" s="25">
        <v>2.347345142183487</v>
      </c>
      <c r="AE78" s="26">
        <v>1.8118060987820555</v>
      </c>
      <c r="AF78" s="6"/>
      <c r="AG78" s="24">
        <v>43.2900632739023</v>
      </c>
      <c r="AH78" s="25">
        <v>62.25952696461792</v>
      </c>
      <c r="AI78" s="26">
        <v>60.036609703413184</v>
      </c>
      <c r="AJ78" s="24">
        <v>70.91492216515162</v>
      </c>
      <c r="AK78" s="25">
        <v>90.3484041966694</v>
      </c>
      <c r="AL78" s="26">
        <v>88.12548693546468</v>
      </c>
      <c r="AM78" s="24">
        <v>98.539781056401</v>
      </c>
      <c r="AN78" s="25">
        <v>118.43728142872091</v>
      </c>
      <c r="AO78" s="26">
        <v>116.21436416751617</v>
      </c>
      <c r="AP78" s="6"/>
      <c r="AQ78" s="24">
        <v>193.22417373176413</v>
      </c>
      <c r="AR78" s="25">
        <v>197.79674994823122</v>
      </c>
      <c r="AS78" s="24">
        <v>222.1164061067616</v>
      </c>
      <c r="AT78" s="25">
        <v>230.7694219151017</v>
      </c>
      <c r="AU78" s="24">
        <v>251.0086384817591</v>
      </c>
      <c r="AV78" s="26">
        <v>263.7420938819722</v>
      </c>
      <c r="AW78" s="4"/>
    </row>
    <row r="79" spans="1:49" ht="12.75">
      <c r="A79" s="4"/>
      <c r="B79" s="23">
        <v>2082</v>
      </c>
      <c r="C79" s="24">
        <f t="shared" si="10"/>
        <v>19.49290894460688</v>
      </c>
      <c r="D79" s="25">
        <f t="shared" si="10"/>
        <v>13.673996623347326</v>
      </c>
      <c r="E79" s="26">
        <f t="shared" si="10"/>
        <v>12.355928325080106</v>
      </c>
      <c r="F79" s="24">
        <f t="shared" si="10"/>
        <v>20.891544067896923</v>
      </c>
      <c r="G79" s="25">
        <f t="shared" si="10"/>
        <v>14.833993331448342</v>
      </c>
      <c r="H79" s="26">
        <f t="shared" si="10"/>
        <v>13.472085118883394</v>
      </c>
      <c r="I79" s="24">
        <f t="shared" si="10"/>
        <v>22.88101564347839</v>
      </c>
      <c r="J79" s="25">
        <f t="shared" si="10"/>
        <v>16.519455350502195</v>
      </c>
      <c r="K79" s="26">
        <f t="shared" si="10"/>
        <v>15.113463068933347</v>
      </c>
      <c r="L79" s="6"/>
      <c r="M79" s="24">
        <f t="shared" si="11"/>
        <v>3.9235280614140797</v>
      </c>
      <c r="N79" s="25">
        <f t="shared" si="11"/>
        <v>2.5191456921584607</v>
      </c>
      <c r="O79" s="26">
        <f t="shared" si="11"/>
        <v>1.9887169938200555</v>
      </c>
      <c r="P79" s="24">
        <f t="shared" si="11"/>
        <v>5.2312688122162685</v>
      </c>
      <c r="Q79" s="25">
        <f t="shared" si="11"/>
        <v>3.737658126033881</v>
      </c>
      <c r="R79" s="26">
        <f t="shared" si="11"/>
        <v>3.2072294276954754</v>
      </c>
      <c r="S79" s="24">
        <f t="shared" si="11"/>
        <v>6.5389219546478135</v>
      </c>
      <c r="T79" s="25">
        <f t="shared" si="11"/>
        <v>4.956170559909303</v>
      </c>
      <c r="U79" s="26">
        <f t="shared" si="11"/>
        <v>4.425741861570897</v>
      </c>
      <c r="V79" s="6"/>
      <c r="W79" s="24">
        <v>3.7304826911275164</v>
      </c>
      <c r="X79" s="25">
        <v>1.6908437306393647</v>
      </c>
      <c r="Y79" s="26">
        <v>1.1504851358749673</v>
      </c>
      <c r="Z79" s="24">
        <v>4.070781115966832</v>
      </c>
      <c r="AA79" s="25">
        <v>1.9643075414894962</v>
      </c>
      <c r="AB79" s="26">
        <v>1.4239489467250988</v>
      </c>
      <c r="AC79" s="24">
        <v>5.049424089351734</v>
      </c>
      <c r="AD79" s="25">
        <v>2.354061610774235</v>
      </c>
      <c r="AE79" s="26">
        <v>1.8137030160098375</v>
      </c>
      <c r="AF79" s="6"/>
      <c r="AG79" s="24">
        <v>43.2900632739023</v>
      </c>
      <c r="AH79" s="25">
        <v>62.51099255285488</v>
      </c>
      <c r="AI79" s="26">
        <v>60.288075291650145</v>
      </c>
      <c r="AJ79" s="24">
        <v>70.91492216515162</v>
      </c>
      <c r="AK79" s="25">
        <v>90.59986978490637</v>
      </c>
      <c r="AL79" s="26">
        <v>88.37695252370163</v>
      </c>
      <c r="AM79" s="24">
        <v>98.539781056401</v>
      </c>
      <c r="AN79" s="25">
        <v>118.68874701695788</v>
      </c>
      <c r="AO79" s="26">
        <v>116.46582975575313</v>
      </c>
      <c r="AP79" s="6"/>
      <c r="AQ79" s="24">
        <v>194.79391493517502</v>
      </c>
      <c r="AR79" s="25">
        <v>199.36649115164215</v>
      </c>
      <c r="AS79" s="24">
        <v>223.68614731017257</v>
      </c>
      <c r="AT79" s="25">
        <v>232.33916311851266</v>
      </c>
      <c r="AU79" s="24">
        <v>252.57837968516998</v>
      </c>
      <c r="AV79" s="26">
        <v>265.31183508538317</v>
      </c>
      <c r="AW79" s="4"/>
    </row>
    <row r="80" spans="1:49" ht="12.75">
      <c r="A80" s="4"/>
      <c r="B80" s="23">
        <v>2083</v>
      </c>
      <c r="C80" s="24">
        <f t="shared" si="10"/>
        <v>19.49290894460688</v>
      </c>
      <c r="D80" s="25">
        <f t="shared" si="10"/>
        <v>13.673996623347326</v>
      </c>
      <c r="E80" s="26">
        <f t="shared" si="10"/>
        <v>12.355928325080106</v>
      </c>
      <c r="F80" s="24">
        <f t="shared" si="10"/>
        <v>20.891544067896923</v>
      </c>
      <c r="G80" s="25">
        <f t="shared" si="10"/>
        <v>14.833993331448342</v>
      </c>
      <c r="H80" s="26">
        <f t="shared" si="10"/>
        <v>13.472085118883394</v>
      </c>
      <c r="I80" s="24">
        <f t="shared" si="10"/>
        <v>22.88101564347839</v>
      </c>
      <c r="J80" s="25">
        <f t="shared" si="10"/>
        <v>16.519455350502195</v>
      </c>
      <c r="K80" s="26">
        <f t="shared" si="10"/>
        <v>15.113463068933347</v>
      </c>
      <c r="L80" s="6"/>
      <c r="M80" s="24">
        <f t="shared" si="11"/>
        <v>3.9235280614140797</v>
      </c>
      <c r="N80" s="25">
        <f t="shared" si="11"/>
        <v>2.5191456921584607</v>
      </c>
      <c r="O80" s="26">
        <f t="shared" si="11"/>
        <v>1.9887169938200555</v>
      </c>
      <c r="P80" s="24">
        <f t="shared" si="11"/>
        <v>5.2312688122162685</v>
      </c>
      <c r="Q80" s="25">
        <f t="shared" si="11"/>
        <v>3.737658126033881</v>
      </c>
      <c r="R80" s="26">
        <f t="shared" si="11"/>
        <v>3.2072294276954754</v>
      </c>
      <c r="S80" s="24">
        <f t="shared" si="11"/>
        <v>6.5389219546478135</v>
      </c>
      <c r="T80" s="25">
        <f t="shared" si="11"/>
        <v>4.956170559909303</v>
      </c>
      <c r="U80" s="26">
        <f t="shared" si="11"/>
        <v>4.425741861570897</v>
      </c>
      <c r="V80" s="6"/>
      <c r="W80" s="24">
        <v>3.7304826911275164</v>
      </c>
      <c r="X80" s="25">
        <v>1.697632489987939</v>
      </c>
      <c r="Y80" s="26">
        <v>1.1524024700200741</v>
      </c>
      <c r="Z80" s="24">
        <v>4.070781115966832</v>
      </c>
      <c r="AA80" s="25">
        <v>1.9710963008380704</v>
      </c>
      <c r="AB80" s="26">
        <v>1.4258662808702054</v>
      </c>
      <c r="AC80" s="24">
        <v>5.049424089351734</v>
      </c>
      <c r="AD80" s="25">
        <v>2.360850370122809</v>
      </c>
      <c r="AE80" s="26">
        <v>1.8156203501549444</v>
      </c>
      <c r="AF80" s="6"/>
      <c r="AG80" s="24">
        <v>43.2900632739023</v>
      </c>
      <c r="AH80" s="25">
        <v>62.76516471787325</v>
      </c>
      <c r="AI80" s="26">
        <v>60.54224745666852</v>
      </c>
      <c r="AJ80" s="24">
        <v>70.91492216515162</v>
      </c>
      <c r="AK80" s="25">
        <v>90.85404194992475</v>
      </c>
      <c r="AL80" s="26">
        <v>88.63112468872002</v>
      </c>
      <c r="AM80" s="24">
        <v>98.539781056401</v>
      </c>
      <c r="AN80" s="25">
        <v>118.94291918197625</v>
      </c>
      <c r="AO80" s="26">
        <v>116.72000192077151</v>
      </c>
      <c r="AP80" s="6"/>
      <c r="AQ80" s="24">
        <v>196.3805515918517</v>
      </c>
      <c r="AR80" s="25">
        <v>200.95312780831884</v>
      </c>
      <c r="AS80" s="24">
        <v>225.27278396684918</v>
      </c>
      <c r="AT80" s="25">
        <v>233.9257997751893</v>
      </c>
      <c r="AU80" s="24">
        <v>254.16501634184667</v>
      </c>
      <c r="AV80" s="26">
        <v>266.8984717420598</v>
      </c>
      <c r="AW80" s="4"/>
    </row>
    <row r="81" spans="1:49" ht="12.75">
      <c r="A81" s="4"/>
      <c r="B81" s="23">
        <v>2084</v>
      </c>
      <c r="C81" s="24">
        <f t="shared" si="10"/>
        <v>19.49290894460688</v>
      </c>
      <c r="D81" s="25">
        <f t="shared" si="10"/>
        <v>13.673996623347326</v>
      </c>
      <c r="E81" s="26">
        <f t="shared" si="10"/>
        <v>12.355928325080106</v>
      </c>
      <c r="F81" s="24">
        <f t="shared" si="10"/>
        <v>20.891544067896923</v>
      </c>
      <c r="G81" s="25">
        <f t="shared" si="10"/>
        <v>14.833993331448342</v>
      </c>
      <c r="H81" s="26">
        <f t="shared" si="10"/>
        <v>13.472085118883394</v>
      </c>
      <c r="I81" s="24">
        <f t="shared" si="10"/>
        <v>22.88101564347839</v>
      </c>
      <c r="J81" s="25">
        <f t="shared" si="10"/>
        <v>16.519455350502195</v>
      </c>
      <c r="K81" s="26">
        <f t="shared" si="10"/>
        <v>15.113463068933347</v>
      </c>
      <c r="L81" s="6"/>
      <c r="M81" s="24">
        <f t="shared" si="11"/>
        <v>3.9235280614140797</v>
      </c>
      <c r="N81" s="25">
        <f t="shared" si="11"/>
        <v>2.5191456921584607</v>
      </c>
      <c r="O81" s="26">
        <f t="shared" si="11"/>
        <v>1.9887169938200555</v>
      </c>
      <c r="P81" s="24">
        <f t="shared" si="11"/>
        <v>5.2312688122162685</v>
      </c>
      <c r="Q81" s="25">
        <f t="shared" si="11"/>
        <v>3.737658126033881</v>
      </c>
      <c r="R81" s="26">
        <f t="shared" si="11"/>
        <v>3.2072294276954754</v>
      </c>
      <c r="S81" s="24">
        <f t="shared" si="11"/>
        <v>6.5389219546478135</v>
      </c>
      <c r="T81" s="25">
        <f t="shared" si="11"/>
        <v>4.956170559909303</v>
      </c>
      <c r="U81" s="26">
        <f t="shared" si="11"/>
        <v>4.425741861570897</v>
      </c>
      <c r="V81" s="6"/>
      <c r="W81" s="24">
        <v>3.7304826911275164</v>
      </c>
      <c r="X81" s="25">
        <v>1.7044943181749024</v>
      </c>
      <c r="Y81" s="26">
        <v>1.1543404408340616</v>
      </c>
      <c r="Z81" s="24">
        <v>4.070781115966832</v>
      </c>
      <c r="AA81" s="25">
        <v>1.9779581290250343</v>
      </c>
      <c r="AB81" s="26">
        <v>1.427804251684193</v>
      </c>
      <c r="AC81" s="24">
        <v>5.049424089351734</v>
      </c>
      <c r="AD81" s="25">
        <v>2.3677121983097726</v>
      </c>
      <c r="AE81" s="26">
        <v>1.8175583209689314</v>
      </c>
      <c r="AF81" s="6"/>
      <c r="AG81" s="24">
        <v>43.2900632739023</v>
      </c>
      <c r="AH81" s="25">
        <v>63.02207259112567</v>
      </c>
      <c r="AI81" s="26">
        <v>60.79915532992094</v>
      </c>
      <c r="AJ81" s="24">
        <v>70.91492216515162</v>
      </c>
      <c r="AK81" s="25">
        <v>91.11094982317718</v>
      </c>
      <c r="AL81" s="26">
        <v>88.88803256197244</v>
      </c>
      <c r="AM81" s="24">
        <v>98.539781056401</v>
      </c>
      <c r="AN81" s="25">
        <v>119.19982705522867</v>
      </c>
      <c r="AO81" s="26">
        <v>116.97690979402392</v>
      </c>
      <c r="AP81" s="6"/>
      <c r="AQ81" s="24">
        <v>197.98426555109526</v>
      </c>
      <c r="AR81" s="25">
        <v>202.5568417675624</v>
      </c>
      <c r="AS81" s="24">
        <v>226.87649792609278</v>
      </c>
      <c r="AT81" s="25">
        <v>235.52951373443287</v>
      </c>
      <c r="AU81" s="24">
        <v>255.76873030109027</v>
      </c>
      <c r="AV81" s="26">
        <v>268.5021857013034</v>
      </c>
      <c r="AW81" s="4"/>
    </row>
    <row r="82" spans="1:49" ht="12.75">
      <c r="A82" s="4"/>
      <c r="B82" s="23">
        <v>2085</v>
      </c>
      <c r="C82" s="24">
        <f t="shared" si="10"/>
        <v>19.49290894460688</v>
      </c>
      <c r="D82" s="25">
        <f t="shared" si="10"/>
        <v>13.673996623347326</v>
      </c>
      <c r="E82" s="26">
        <f t="shared" si="10"/>
        <v>12.355928325080106</v>
      </c>
      <c r="F82" s="24">
        <f t="shared" si="10"/>
        <v>20.891544067896923</v>
      </c>
      <c r="G82" s="25">
        <f t="shared" si="10"/>
        <v>14.833993331448342</v>
      </c>
      <c r="H82" s="26">
        <f t="shared" si="10"/>
        <v>13.472085118883394</v>
      </c>
      <c r="I82" s="24">
        <f t="shared" si="10"/>
        <v>22.88101564347839</v>
      </c>
      <c r="J82" s="25">
        <f t="shared" si="10"/>
        <v>16.519455350502195</v>
      </c>
      <c r="K82" s="26">
        <f t="shared" si="10"/>
        <v>15.113463068933347</v>
      </c>
      <c r="L82" s="6"/>
      <c r="M82" s="24">
        <f t="shared" si="11"/>
        <v>3.9235280614140797</v>
      </c>
      <c r="N82" s="25">
        <f t="shared" si="11"/>
        <v>2.5191456921584607</v>
      </c>
      <c r="O82" s="26">
        <f t="shared" si="11"/>
        <v>1.9887169938200555</v>
      </c>
      <c r="P82" s="24">
        <f t="shared" si="11"/>
        <v>5.2312688122162685</v>
      </c>
      <c r="Q82" s="25">
        <f t="shared" si="11"/>
        <v>3.737658126033881</v>
      </c>
      <c r="R82" s="26">
        <f t="shared" si="11"/>
        <v>3.2072294276954754</v>
      </c>
      <c r="S82" s="24">
        <f t="shared" si="11"/>
        <v>6.5389219546478135</v>
      </c>
      <c r="T82" s="25">
        <f t="shared" si="11"/>
        <v>4.956170559909303</v>
      </c>
      <c r="U82" s="26">
        <f t="shared" si="11"/>
        <v>4.425741861570897</v>
      </c>
      <c r="V82" s="6"/>
      <c r="W82" s="24">
        <v>3.7304826911275164</v>
      </c>
      <c r="X82" s="25">
        <v>1.7114300016554638</v>
      </c>
      <c r="Y82" s="26">
        <v>1.1562992704337183</v>
      </c>
      <c r="Z82" s="24">
        <v>4.070781115966832</v>
      </c>
      <c r="AA82" s="25">
        <v>1.9848938125055953</v>
      </c>
      <c r="AB82" s="26">
        <v>1.4297630812838498</v>
      </c>
      <c r="AC82" s="24">
        <v>5.049424089351734</v>
      </c>
      <c r="AD82" s="25">
        <v>2.3746478817903336</v>
      </c>
      <c r="AE82" s="26">
        <v>1.8195171505685883</v>
      </c>
      <c r="AF82" s="6"/>
      <c r="AG82" s="24">
        <v>43.2900632739023</v>
      </c>
      <c r="AH82" s="25">
        <v>63.2817456176127</v>
      </c>
      <c r="AI82" s="26">
        <v>61.058828356407965</v>
      </c>
      <c r="AJ82" s="24">
        <v>70.91492216515162</v>
      </c>
      <c r="AK82" s="25">
        <v>91.37062284966422</v>
      </c>
      <c r="AL82" s="26">
        <v>89.14770558845947</v>
      </c>
      <c r="AM82" s="24">
        <v>98.539781056401</v>
      </c>
      <c r="AN82" s="25">
        <v>119.45950008171572</v>
      </c>
      <c r="AO82" s="26">
        <v>117.23658282051098</v>
      </c>
      <c r="AP82" s="6"/>
      <c r="AQ82" s="24">
        <v>199.6052406194892</v>
      </c>
      <c r="AR82" s="25">
        <v>204.1778168359563</v>
      </c>
      <c r="AS82" s="24">
        <v>228.49747299448669</v>
      </c>
      <c r="AT82" s="25">
        <v>237.1504888028268</v>
      </c>
      <c r="AU82" s="24">
        <v>257.38970536948415</v>
      </c>
      <c r="AV82" s="26">
        <v>270.12316076969734</v>
      </c>
      <c r="AW82" s="4"/>
    </row>
    <row r="83" spans="1:49" ht="12.75">
      <c r="A83" s="4"/>
      <c r="B83" s="23">
        <v>2086</v>
      </c>
      <c r="C83" s="24">
        <f t="shared" si="10"/>
        <v>19.49290894460688</v>
      </c>
      <c r="D83" s="25">
        <f t="shared" si="10"/>
        <v>13.673996623347326</v>
      </c>
      <c r="E83" s="26">
        <f t="shared" si="10"/>
        <v>12.355928325080106</v>
      </c>
      <c r="F83" s="24">
        <f t="shared" si="10"/>
        <v>20.891544067896923</v>
      </c>
      <c r="G83" s="25">
        <f t="shared" si="10"/>
        <v>14.833993331448342</v>
      </c>
      <c r="H83" s="26">
        <f t="shared" si="10"/>
        <v>13.472085118883394</v>
      </c>
      <c r="I83" s="24">
        <f t="shared" si="10"/>
        <v>22.88101564347839</v>
      </c>
      <c r="J83" s="25">
        <f t="shared" si="10"/>
        <v>16.519455350502195</v>
      </c>
      <c r="K83" s="26">
        <f t="shared" si="10"/>
        <v>15.113463068933347</v>
      </c>
      <c r="L83" s="6"/>
      <c r="M83" s="24">
        <f t="shared" si="11"/>
        <v>3.9235280614140797</v>
      </c>
      <c r="N83" s="25">
        <f t="shared" si="11"/>
        <v>2.5191456921584607</v>
      </c>
      <c r="O83" s="26">
        <f t="shared" si="11"/>
        <v>1.9887169938200555</v>
      </c>
      <c r="P83" s="24">
        <f t="shared" si="11"/>
        <v>5.2312688122162685</v>
      </c>
      <c r="Q83" s="25">
        <f t="shared" si="11"/>
        <v>3.737658126033881</v>
      </c>
      <c r="R83" s="26">
        <f t="shared" si="11"/>
        <v>3.2072294276954754</v>
      </c>
      <c r="S83" s="24">
        <f t="shared" si="11"/>
        <v>6.5389219546478135</v>
      </c>
      <c r="T83" s="25">
        <f t="shared" si="11"/>
        <v>4.956170559909303</v>
      </c>
      <c r="U83" s="26">
        <f t="shared" si="11"/>
        <v>4.425741861570897</v>
      </c>
      <c r="V83" s="6"/>
      <c r="W83" s="24">
        <v>3.7304826911275164</v>
      </c>
      <c r="X83" s="25">
        <v>1.718440335349612</v>
      </c>
      <c r="Y83" s="26">
        <v>1.1582791833265216</v>
      </c>
      <c r="Z83" s="24">
        <v>4.070781115966832</v>
      </c>
      <c r="AA83" s="25">
        <v>1.9919041461997435</v>
      </c>
      <c r="AB83" s="26">
        <v>1.431742994176653</v>
      </c>
      <c r="AC83" s="24">
        <v>5.049424089351734</v>
      </c>
      <c r="AD83" s="25">
        <v>2.381658215484482</v>
      </c>
      <c r="AE83" s="26">
        <v>1.821497063461392</v>
      </c>
      <c r="AF83" s="6"/>
      <c r="AG83" s="24">
        <v>43.2900632739023</v>
      </c>
      <c r="AH83" s="25">
        <v>63.54421355925763</v>
      </c>
      <c r="AI83" s="26">
        <v>61.32129629805289</v>
      </c>
      <c r="AJ83" s="24">
        <v>70.91492216515162</v>
      </c>
      <c r="AK83" s="25">
        <v>91.63309079130913</v>
      </c>
      <c r="AL83" s="26">
        <v>89.4101735301044</v>
      </c>
      <c r="AM83" s="24">
        <v>98.539781056401</v>
      </c>
      <c r="AN83" s="25">
        <v>119.72196802336063</v>
      </c>
      <c r="AO83" s="26">
        <v>117.49905076215589</v>
      </c>
      <c r="AP83" s="6"/>
      <c r="AQ83" s="24">
        <v>201.24366258196568</v>
      </c>
      <c r="AR83" s="25">
        <v>205.81623879843278</v>
      </c>
      <c r="AS83" s="24">
        <v>230.1358949569632</v>
      </c>
      <c r="AT83" s="25">
        <v>238.78891076530329</v>
      </c>
      <c r="AU83" s="24">
        <v>259.02812733196066</v>
      </c>
      <c r="AV83" s="26">
        <v>271.7615827321738</v>
      </c>
      <c r="AW83" s="4"/>
    </row>
    <row r="84" spans="1:49" ht="12.75">
      <c r="A84" s="4"/>
      <c r="B84" s="23">
        <v>2087</v>
      </c>
      <c r="C84" s="24">
        <f t="shared" si="10"/>
        <v>19.49290894460688</v>
      </c>
      <c r="D84" s="25">
        <f t="shared" si="10"/>
        <v>13.673996623347326</v>
      </c>
      <c r="E84" s="26">
        <f t="shared" si="10"/>
        <v>12.355928325080106</v>
      </c>
      <c r="F84" s="24">
        <f t="shared" si="10"/>
        <v>20.891544067896923</v>
      </c>
      <c r="G84" s="25">
        <f t="shared" si="10"/>
        <v>14.833993331448342</v>
      </c>
      <c r="H84" s="26">
        <f t="shared" si="10"/>
        <v>13.472085118883394</v>
      </c>
      <c r="I84" s="24">
        <f t="shared" si="10"/>
        <v>22.88101564347839</v>
      </c>
      <c r="J84" s="25">
        <f t="shared" si="10"/>
        <v>16.519455350502195</v>
      </c>
      <c r="K84" s="26">
        <f t="shared" si="10"/>
        <v>15.113463068933347</v>
      </c>
      <c r="L84" s="6"/>
      <c r="M84" s="24">
        <f t="shared" si="11"/>
        <v>3.9235280614140797</v>
      </c>
      <c r="N84" s="25">
        <f t="shared" si="11"/>
        <v>2.5191456921584607</v>
      </c>
      <c r="O84" s="26">
        <f t="shared" si="11"/>
        <v>1.9887169938200555</v>
      </c>
      <c r="P84" s="24">
        <f t="shared" si="11"/>
        <v>5.2312688122162685</v>
      </c>
      <c r="Q84" s="25">
        <f t="shared" si="11"/>
        <v>3.737658126033881</v>
      </c>
      <c r="R84" s="26">
        <f t="shared" si="11"/>
        <v>3.2072294276954754</v>
      </c>
      <c r="S84" s="24">
        <f t="shared" si="11"/>
        <v>6.5389219546478135</v>
      </c>
      <c r="T84" s="25">
        <f t="shared" si="11"/>
        <v>4.956170559909303</v>
      </c>
      <c r="U84" s="26">
        <f t="shared" si="11"/>
        <v>4.425741861570897</v>
      </c>
      <c r="V84" s="6"/>
      <c r="W84" s="24">
        <v>3.7304826911275164</v>
      </c>
      <c r="X84" s="25">
        <v>1.725526122733228</v>
      </c>
      <c r="Y84" s="26">
        <v>1.160280406436371</v>
      </c>
      <c r="Z84" s="24">
        <v>4.070781115966832</v>
      </c>
      <c r="AA84" s="25">
        <v>1.9989899335833594</v>
      </c>
      <c r="AB84" s="26">
        <v>1.4337442172865025</v>
      </c>
      <c r="AC84" s="24">
        <v>5.049424089351734</v>
      </c>
      <c r="AD84" s="25">
        <v>2.388744002868098</v>
      </c>
      <c r="AE84" s="26">
        <v>1.8234982865712415</v>
      </c>
      <c r="AF84" s="6"/>
      <c r="AG84" s="24">
        <v>43.2900632739023</v>
      </c>
      <c r="AH84" s="25">
        <v>63.80950649831752</v>
      </c>
      <c r="AI84" s="26">
        <v>61.58658923711279</v>
      </c>
      <c r="AJ84" s="24">
        <v>70.91492216515162</v>
      </c>
      <c r="AK84" s="25">
        <v>91.89838373036902</v>
      </c>
      <c r="AL84" s="26">
        <v>89.67546646916429</v>
      </c>
      <c r="AM84" s="24">
        <v>98.539781056401</v>
      </c>
      <c r="AN84" s="25">
        <v>119.98726096242054</v>
      </c>
      <c r="AO84" s="26">
        <v>117.7643437012158</v>
      </c>
      <c r="AP84" s="6"/>
      <c r="AQ84" s="24">
        <v>202.89971922309894</v>
      </c>
      <c r="AR84" s="25">
        <v>207.47229543956604</v>
      </c>
      <c r="AS84" s="24">
        <v>231.79195159809643</v>
      </c>
      <c r="AT84" s="25">
        <v>240.44496740643655</v>
      </c>
      <c r="AU84" s="24">
        <v>260.68418397309387</v>
      </c>
      <c r="AV84" s="26">
        <v>273.41763937330705</v>
      </c>
      <c r="AW84" s="4"/>
    </row>
    <row r="85" spans="1:49" ht="12.75">
      <c r="A85" s="4"/>
      <c r="B85" s="23">
        <v>2088</v>
      </c>
      <c r="C85" s="24">
        <f t="shared" si="10"/>
        <v>19.49290894460688</v>
      </c>
      <c r="D85" s="25">
        <f t="shared" si="10"/>
        <v>13.673996623347326</v>
      </c>
      <c r="E85" s="26">
        <f t="shared" si="10"/>
        <v>12.355928325080106</v>
      </c>
      <c r="F85" s="24">
        <f t="shared" si="10"/>
        <v>20.891544067896923</v>
      </c>
      <c r="G85" s="25">
        <f t="shared" si="10"/>
        <v>14.833993331448342</v>
      </c>
      <c r="H85" s="26">
        <f t="shared" si="10"/>
        <v>13.472085118883394</v>
      </c>
      <c r="I85" s="24">
        <f t="shared" si="10"/>
        <v>22.88101564347839</v>
      </c>
      <c r="J85" s="25">
        <f t="shared" si="10"/>
        <v>16.519455350502195</v>
      </c>
      <c r="K85" s="26">
        <f t="shared" si="10"/>
        <v>15.113463068933347</v>
      </c>
      <c r="L85" s="6"/>
      <c r="M85" s="24">
        <f t="shared" si="11"/>
        <v>3.9235280614140797</v>
      </c>
      <c r="N85" s="25">
        <f t="shared" si="11"/>
        <v>2.5191456921584607</v>
      </c>
      <c r="O85" s="26">
        <f t="shared" si="11"/>
        <v>1.9887169938200555</v>
      </c>
      <c r="P85" s="24">
        <f t="shared" si="11"/>
        <v>5.2312688122162685</v>
      </c>
      <c r="Q85" s="25">
        <f t="shared" si="11"/>
        <v>3.737658126033881</v>
      </c>
      <c r="R85" s="26">
        <f t="shared" si="11"/>
        <v>3.2072294276954754</v>
      </c>
      <c r="S85" s="24">
        <f t="shared" si="11"/>
        <v>6.5389219546478135</v>
      </c>
      <c r="T85" s="25">
        <f t="shared" si="11"/>
        <v>4.956170559909303</v>
      </c>
      <c r="U85" s="26">
        <f t="shared" si="11"/>
        <v>4.425741861570897</v>
      </c>
      <c r="V85" s="6"/>
      <c r="W85" s="24">
        <v>3.7304826911275164</v>
      </c>
      <c r="X85" s="25">
        <v>1.7326881759301704</v>
      </c>
      <c r="Y85" s="26">
        <v>1.1623031691295946</v>
      </c>
      <c r="Z85" s="24">
        <v>4.070781115966832</v>
      </c>
      <c r="AA85" s="25">
        <v>2.0061519867803015</v>
      </c>
      <c r="AB85" s="26">
        <v>1.435766979979726</v>
      </c>
      <c r="AC85" s="24">
        <v>5.049424089351734</v>
      </c>
      <c r="AD85" s="25">
        <v>2.3959060560650407</v>
      </c>
      <c r="AE85" s="26">
        <v>1.8255210492644651</v>
      </c>
      <c r="AF85" s="6"/>
      <c r="AG85" s="24">
        <v>43.2900632739023</v>
      </c>
      <c r="AH85" s="25">
        <v>64.07765484083107</v>
      </c>
      <c r="AI85" s="26">
        <v>61.854737579626345</v>
      </c>
      <c r="AJ85" s="24">
        <v>70.91492216515162</v>
      </c>
      <c r="AK85" s="25">
        <v>92.16653207288259</v>
      </c>
      <c r="AL85" s="26">
        <v>89.94361481167786</v>
      </c>
      <c r="AM85" s="24">
        <v>98.539781056401</v>
      </c>
      <c r="AN85" s="25">
        <v>120.25540930493409</v>
      </c>
      <c r="AO85" s="26">
        <v>118.03249204372935</v>
      </c>
      <c r="AP85" s="6"/>
      <c r="AQ85" s="24">
        <v>204.573600348628</v>
      </c>
      <c r="AR85" s="25">
        <v>209.14617656509506</v>
      </c>
      <c r="AS85" s="24">
        <v>233.46583272362543</v>
      </c>
      <c r="AT85" s="25">
        <v>242.1188485319655</v>
      </c>
      <c r="AU85" s="24">
        <v>262.35806509862294</v>
      </c>
      <c r="AV85" s="26">
        <v>275.0915204988361</v>
      </c>
      <c r="AW85" s="4"/>
    </row>
    <row r="86" spans="1:49" ht="12.75">
      <c r="A86" s="4"/>
      <c r="B86" s="23">
        <v>2089</v>
      </c>
      <c r="C86" s="24">
        <f t="shared" si="10"/>
        <v>19.49290894460688</v>
      </c>
      <c r="D86" s="25">
        <f t="shared" si="10"/>
        <v>13.673996623347326</v>
      </c>
      <c r="E86" s="26">
        <f t="shared" si="10"/>
        <v>12.355928325080106</v>
      </c>
      <c r="F86" s="24">
        <f t="shared" si="10"/>
        <v>20.891544067896923</v>
      </c>
      <c r="G86" s="25">
        <f t="shared" si="10"/>
        <v>14.833993331448342</v>
      </c>
      <c r="H86" s="26">
        <f t="shared" si="10"/>
        <v>13.472085118883394</v>
      </c>
      <c r="I86" s="24">
        <f t="shared" si="10"/>
        <v>22.88101564347839</v>
      </c>
      <c r="J86" s="25">
        <f t="shared" si="10"/>
        <v>16.519455350502195</v>
      </c>
      <c r="K86" s="26">
        <f t="shared" si="10"/>
        <v>15.113463068933347</v>
      </c>
      <c r="L86" s="6"/>
      <c r="M86" s="24">
        <f t="shared" si="11"/>
        <v>3.9235280614140797</v>
      </c>
      <c r="N86" s="25">
        <f t="shared" si="11"/>
        <v>2.5191456921584607</v>
      </c>
      <c r="O86" s="26">
        <f t="shared" si="11"/>
        <v>1.9887169938200555</v>
      </c>
      <c r="P86" s="24">
        <f t="shared" si="11"/>
        <v>5.2312688122162685</v>
      </c>
      <c r="Q86" s="25">
        <f t="shared" si="11"/>
        <v>3.737658126033881</v>
      </c>
      <c r="R86" s="26">
        <f t="shared" si="11"/>
        <v>3.2072294276954754</v>
      </c>
      <c r="S86" s="24">
        <f t="shared" si="11"/>
        <v>6.5389219546478135</v>
      </c>
      <c r="T86" s="25">
        <f t="shared" si="11"/>
        <v>4.956170559909303</v>
      </c>
      <c r="U86" s="26">
        <f t="shared" si="11"/>
        <v>4.425741861570897</v>
      </c>
      <c r="V86" s="6"/>
      <c r="W86" s="24">
        <v>3.7304826911275164</v>
      </c>
      <c r="X86" s="25">
        <v>1.7399273158053576</v>
      </c>
      <c r="Y86" s="26">
        <v>1.1643477032412384</v>
      </c>
      <c r="Z86" s="24">
        <v>4.070781115966832</v>
      </c>
      <c r="AA86" s="25">
        <v>2.013391126655489</v>
      </c>
      <c r="AB86" s="26">
        <v>1.4378115140913694</v>
      </c>
      <c r="AC86" s="24">
        <v>5.049424089351734</v>
      </c>
      <c r="AD86" s="25">
        <v>2.403145195940228</v>
      </c>
      <c r="AE86" s="26">
        <v>1.8275655833761089</v>
      </c>
      <c r="AF86" s="6"/>
      <c r="AG86" s="24">
        <v>43.2900632739023</v>
      </c>
      <c r="AH86" s="25">
        <v>64.3486893201036</v>
      </c>
      <c r="AI86" s="26">
        <v>62.125772058898875</v>
      </c>
      <c r="AJ86" s="24">
        <v>70.91492216515162</v>
      </c>
      <c r="AK86" s="25">
        <v>92.4375665521551</v>
      </c>
      <c r="AL86" s="26">
        <v>90.21464929095038</v>
      </c>
      <c r="AM86" s="24">
        <v>98.539781056401</v>
      </c>
      <c r="AN86" s="25">
        <v>120.5264437842066</v>
      </c>
      <c r="AO86" s="26">
        <v>118.30352652300186</v>
      </c>
      <c r="AP86" s="6"/>
      <c r="AQ86" s="24">
        <v>206.2654978072106</v>
      </c>
      <c r="AR86" s="25">
        <v>210.83807402367773</v>
      </c>
      <c r="AS86" s="24">
        <v>235.15773018220813</v>
      </c>
      <c r="AT86" s="25">
        <v>243.8107459905482</v>
      </c>
      <c r="AU86" s="24">
        <v>264.04996255720556</v>
      </c>
      <c r="AV86" s="26">
        <v>276.78341795741875</v>
      </c>
      <c r="AW86" s="4"/>
    </row>
    <row r="87" spans="1:49" ht="12.75">
      <c r="A87" s="4"/>
      <c r="B87" s="23">
        <v>2090</v>
      </c>
      <c r="C87" s="24">
        <f t="shared" si="10"/>
        <v>19.49290894460688</v>
      </c>
      <c r="D87" s="25">
        <f t="shared" si="10"/>
        <v>13.673996623347326</v>
      </c>
      <c r="E87" s="26">
        <f t="shared" si="10"/>
        <v>12.355928325080106</v>
      </c>
      <c r="F87" s="24">
        <f t="shared" si="10"/>
        <v>20.891544067896923</v>
      </c>
      <c r="G87" s="25">
        <f t="shared" si="10"/>
        <v>14.833993331448342</v>
      </c>
      <c r="H87" s="26">
        <f t="shared" si="10"/>
        <v>13.472085118883394</v>
      </c>
      <c r="I87" s="24">
        <f t="shared" si="10"/>
        <v>22.88101564347839</v>
      </c>
      <c r="J87" s="25">
        <f t="shared" si="10"/>
        <v>16.519455350502195</v>
      </c>
      <c r="K87" s="26">
        <f t="shared" si="10"/>
        <v>15.113463068933347</v>
      </c>
      <c r="L87" s="6"/>
      <c r="M87" s="24">
        <f t="shared" si="11"/>
        <v>3.9235280614140797</v>
      </c>
      <c r="N87" s="25">
        <f t="shared" si="11"/>
        <v>2.5191456921584607</v>
      </c>
      <c r="O87" s="26">
        <f t="shared" si="11"/>
        <v>1.9887169938200555</v>
      </c>
      <c r="P87" s="24">
        <f t="shared" si="11"/>
        <v>5.2312688122162685</v>
      </c>
      <c r="Q87" s="25">
        <f t="shared" si="11"/>
        <v>3.737658126033881</v>
      </c>
      <c r="R87" s="26">
        <f t="shared" si="11"/>
        <v>3.2072294276954754</v>
      </c>
      <c r="S87" s="24">
        <f t="shared" si="11"/>
        <v>6.5389219546478135</v>
      </c>
      <c r="T87" s="25">
        <f t="shared" si="11"/>
        <v>4.956170559909303</v>
      </c>
      <c r="U87" s="26">
        <f t="shared" si="11"/>
        <v>4.425741861570897</v>
      </c>
      <c r="V87" s="6"/>
      <c r="W87" s="24">
        <v>3.7304826911275164</v>
      </c>
      <c r="X87" s="25">
        <v>1.7472443720588493</v>
      </c>
      <c r="Y87" s="26">
        <v>1.1664142431016373</v>
      </c>
      <c r="Z87" s="24">
        <v>4.070781115966832</v>
      </c>
      <c r="AA87" s="25">
        <v>2.020708182908981</v>
      </c>
      <c r="AB87" s="26">
        <v>1.4398780539517688</v>
      </c>
      <c r="AC87" s="24">
        <v>5.049424089351734</v>
      </c>
      <c r="AD87" s="25">
        <v>2.410462252193719</v>
      </c>
      <c r="AE87" s="26">
        <v>1.829632123236508</v>
      </c>
      <c r="AF87" s="6"/>
      <c r="AG87" s="24">
        <v>43.2900632739023</v>
      </c>
      <c r="AH87" s="25">
        <v>64.62264100022935</v>
      </c>
      <c r="AI87" s="26">
        <v>62.39972373902462</v>
      </c>
      <c r="AJ87" s="24">
        <v>70.91492216515162</v>
      </c>
      <c r="AK87" s="25">
        <v>92.71151823228085</v>
      </c>
      <c r="AL87" s="26">
        <v>90.48860097107611</v>
      </c>
      <c r="AM87" s="24">
        <v>98.539781056401</v>
      </c>
      <c r="AN87" s="25">
        <v>120.80039546433235</v>
      </c>
      <c r="AO87" s="26">
        <v>118.57747820312761</v>
      </c>
      <c r="AP87" s="6"/>
      <c r="AQ87" s="24">
        <v>207.97560551241207</v>
      </c>
      <c r="AR87" s="25">
        <v>212.5481817288792</v>
      </c>
      <c r="AS87" s="24">
        <v>236.8678378874096</v>
      </c>
      <c r="AT87" s="25">
        <v>245.52085369574968</v>
      </c>
      <c r="AU87" s="24">
        <v>265.76007026240705</v>
      </c>
      <c r="AV87" s="26">
        <v>278.49352566262024</v>
      </c>
      <c r="AW87" s="4"/>
    </row>
    <row r="88" spans="1:49" ht="12.75">
      <c r="A88" s="4"/>
      <c r="B88" s="23">
        <v>2091</v>
      </c>
      <c r="C88" s="24">
        <f t="shared" si="10"/>
        <v>19.49290894460688</v>
      </c>
      <c r="D88" s="25">
        <f t="shared" si="10"/>
        <v>13.673996623347326</v>
      </c>
      <c r="E88" s="26">
        <f t="shared" si="10"/>
        <v>12.355928325080106</v>
      </c>
      <c r="F88" s="24">
        <f t="shared" si="10"/>
        <v>20.891544067896923</v>
      </c>
      <c r="G88" s="25">
        <f t="shared" si="10"/>
        <v>14.833993331448342</v>
      </c>
      <c r="H88" s="26">
        <f t="shared" si="10"/>
        <v>13.472085118883394</v>
      </c>
      <c r="I88" s="24">
        <f t="shared" si="10"/>
        <v>22.88101564347839</v>
      </c>
      <c r="J88" s="25">
        <f t="shared" si="10"/>
        <v>16.519455350502195</v>
      </c>
      <c r="K88" s="26">
        <f t="shared" si="10"/>
        <v>15.113463068933347</v>
      </c>
      <c r="L88" s="6"/>
      <c r="M88" s="24">
        <f t="shared" si="11"/>
        <v>3.9235280614140797</v>
      </c>
      <c r="N88" s="25">
        <f t="shared" si="11"/>
        <v>2.5191456921584607</v>
      </c>
      <c r="O88" s="26">
        <f t="shared" si="11"/>
        <v>1.9887169938200555</v>
      </c>
      <c r="P88" s="24">
        <f t="shared" si="11"/>
        <v>5.2312688122162685</v>
      </c>
      <c r="Q88" s="25">
        <f t="shared" si="11"/>
        <v>3.737658126033881</v>
      </c>
      <c r="R88" s="26">
        <f t="shared" si="11"/>
        <v>3.2072294276954754</v>
      </c>
      <c r="S88" s="24">
        <f t="shared" si="11"/>
        <v>6.5389219546478135</v>
      </c>
      <c r="T88" s="25">
        <f t="shared" si="11"/>
        <v>4.956170559909303</v>
      </c>
      <c r="U88" s="26">
        <f t="shared" si="11"/>
        <v>4.425741861570897</v>
      </c>
      <c r="V88" s="6"/>
      <c r="W88" s="24">
        <v>3.7304826911275164</v>
      </c>
      <c r="X88" s="25">
        <v>1.7546401833209404</v>
      </c>
      <c r="Y88" s="26">
        <v>1.168503025563274</v>
      </c>
      <c r="Z88" s="24">
        <v>4.070781115966832</v>
      </c>
      <c r="AA88" s="25">
        <v>2.028103994171072</v>
      </c>
      <c r="AB88" s="26">
        <v>1.4419668364134055</v>
      </c>
      <c r="AC88" s="24">
        <v>5.049424089351734</v>
      </c>
      <c r="AD88" s="25">
        <v>2.4178580634558107</v>
      </c>
      <c r="AE88" s="26">
        <v>1.8317209056981443</v>
      </c>
      <c r="AF88" s="6"/>
      <c r="AG88" s="24">
        <v>43.2900632739023</v>
      </c>
      <c r="AH88" s="25">
        <v>64.89954127965194</v>
      </c>
      <c r="AI88" s="26">
        <v>62.676624018447214</v>
      </c>
      <c r="AJ88" s="24">
        <v>70.91492216515162</v>
      </c>
      <c r="AK88" s="25">
        <v>92.98841851170346</v>
      </c>
      <c r="AL88" s="26">
        <v>90.76550125049872</v>
      </c>
      <c r="AM88" s="24">
        <v>98.539781056401</v>
      </c>
      <c r="AN88" s="25">
        <v>121.07729574375496</v>
      </c>
      <c r="AO88" s="26">
        <v>118.85437848255022</v>
      </c>
      <c r="AP88" s="6"/>
      <c r="AQ88" s="24">
        <v>209.70411946492976</v>
      </c>
      <c r="AR88" s="25">
        <v>214.27669568139686</v>
      </c>
      <c r="AS88" s="24">
        <v>238.59635183992728</v>
      </c>
      <c r="AT88" s="25">
        <v>247.24936764826737</v>
      </c>
      <c r="AU88" s="24">
        <v>267.4885842149247</v>
      </c>
      <c r="AV88" s="26">
        <v>280.2220396151379</v>
      </c>
      <c r="AW88" s="4"/>
    </row>
    <row r="89" spans="1:49" ht="12.75">
      <c r="A89" s="4"/>
      <c r="B89" s="23">
        <v>2092</v>
      </c>
      <c r="C89" s="24">
        <f t="shared" si="10"/>
        <v>19.49290894460688</v>
      </c>
      <c r="D89" s="25">
        <f t="shared" si="10"/>
        <v>13.673996623347326</v>
      </c>
      <c r="E89" s="26">
        <f t="shared" si="10"/>
        <v>12.355928325080106</v>
      </c>
      <c r="F89" s="24">
        <f t="shared" si="10"/>
        <v>20.891544067896923</v>
      </c>
      <c r="G89" s="25">
        <f t="shared" si="10"/>
        <v>14.833993331448342</v>
      </c>
      <c r="H89" s="26">
        <f t="shared" si="10"/>
        <v>13.472085118883394</v>
      </c>
      <c r="I89" s="24">
        <f t="shared" si="10"/>
        <v>22.88101564347839</v>
      </c>
      <c r="J89" s="25">
        <f t="shared" si="10"/>
        <v>16.519455350502195</v>
      </c>
      <c r="K89" s="26">
        <f t="shared" si="10"/>
        <v>15.113463068933347</v>
      </c>
      <c r="L89" s="6"/>
      <c r="M89" s="24">
        <f t="shared" si="11"/>
        <v>3.9235280614140797</v>
      </c>
      <c r="N89" s="25">
        <f t="shared" si="11"/>
        <v>2.5191456921584607</v>
      </c>
      <c r="O89" s="26">
        <f t="shared" si="11"/>
        <v>1.9887169938200555</v>
      </c>
      <c r="P89" s="24">
        <f t="shared" si="11"/>
        <v>5.2312688122162685</v>
      </c>
      <c r="Q89" s="25">
        <f t="shared" si="11"/>
        <v>3.737658126033881</v>
      </c>
      <c r="R89" s="26">
        <f t="shared" si="11"/>
        <v>3.2072294276954754</v>
      </c>
      <c r="S89" s="24">
        <f t="shared" si="11"/>
        <v>6.5389219546478135</v>
      </c>
      <c r="T89" s="25">
        <f t="shared" si="11"/>
        <v>4.956170559909303</v>
      </c>
      <c r="U89" s="26">
        <f t="shared" si="11"/>
        <v>4.425741861570897</v>
      </c>
      <c r="V89" s="6"/>
      <c r="W89" s="24">
        <v>3.7304826911275164</v>
      </c>
      <c r="X89" s="25">
        <v>1.7621155972482787</v>
      </c>
      <c r="Y89" s="26">
        <v>1.1706142900279222</v>
      </c>
      <c r="Z89" s="24">
        <v>4.070781115966832</v>
      </c>
      <c r="AA89" s="25">
        <v>2.0355794080984104</v>
      </c>
      <c r="AB89" s="26">
        <v>1.4440781008780534</v>
      </c>
      <c r="AC89" s="24">
        <v>5.049424089351734</v>
      </c>
      <c r="AD89" s="25">
        <v>2.4253334773831488</v>
      </c>
      <c r="AE89" s="26">
        <v>1.8338321701627924</v>
      </c>
      <c r="AF89" s="6"/>
      <c r="AG89" s="24">
        <v>43.2900632739023</v>
      </c>
      <c r="AH89" s="25">
        <v>65.17942189476305</v>
      </c>
      <c r="AI89" s="26">
        <v>62.95650463355832</v>
      </c>
      <c r="AJ89" s="24">
        <v>70.91492216515162</v>
      </c>
      <c r="AK89" s="25">
        <v>93.26829912681454</v>
      </c>
      <c r="AL89" s="26">
        <v>91.04538186560981</v>
      </c>
      <c r="AM89" s="24">
        <v>98.539781056401</v>
      </c>
      <c r="AN89" s="25">
        <v>121.35717635886604</v>
      </c>
      <c r="AO89" s="26">
        <v>119.1342590976613</v>
      </c>
      <c r="AP89" s="6"/>
      <c r="AQ89" s="24">
        <v>211.45123777505776</v>
      </c>
      <c r="AR89" s="25">
        <v>216.02381399152486</v>
      </c>
      <c r="AS89" s="24">
        <v>240.34347015005523</v>
      </c>
      <c r="AT89" s="25">
        <v>248.9964859583953</v>
      </c>
      <c r="AU89" s="24">
        <v>269.2357025250528</v>
      </c>
      <c r="AV89" s="26">
        <v>281.96915792526585</v>
      </c>
      <c r="AW89" s="4"/>
    </row>
    <row r="90" spans="1:49" ht="12.75">
      <c r="A90" s="4"/>
      <c r="B90" s="23">
        <v>2093</v>
      </c>
      <c r="C90" s="24">
        <f t="shared" si="10"/>
        <v>19.49290894460688</v>
      </c>
      <c r="D90" s="25">
        <f t="shared" si="10"/>
        <v>13.673996623347326</v>
      </c>
      <c r="E90" s="26">
        <f t="shared" si="10"/>
        <v>12.355928325080106</v>
      </c>
      <c r="F90" s="24">
        <f t="shared" si="10"/>
        <v>20.891544067896923</v>
      </c>
      <c r="G90" s="25">
        <f t="shared" si="10"/>
        <v>14.833993331448342</v>
      </c>
      <c r="H90" s="26">
        <f t="shared" si="10"/>
        <v>13.472085118883394</v>
      </c>
      <c r="I90" s="24">
        <f t="shared" si="10"/>
        <v>22.88101564347839</v>
      </c>
      <c r="J90" s="25">
        <f t="shared" si="10"/>
        <v>16.519455350502195</v>
      </c>
      <c r="K90" s="26">
        <f t="shared" si="10"/>
        <v>15.113463068933347</v>
      </c>
      <c r="L90" s="6"/>
      <c r="M90" s="24">
        <f t="shared" si="11"/>
        <v>3.9235280614140797</v>
      </c>
      <c r="N90" s="25">
        <f t="shared" si="11"/>
        <v>2.5191456921584607</v>
      </c>
      <c r="O90" s="26">
        <f t="shared" si="11"/>
        <v>1.9887169938200555</v>
      </c>
      <c r="P90" s="24">
        <f t="shared" si="11"/>
        <v>5.2312688122162685</v>
      </c>
      <c r="Q90" s="25">
        <f t="shared" si="11"/>
        <v>3.737658126033881</v>
      </c>
      <c r="R90" s="26">
        <f t="shared" si="11"/>
        <v>3.2072294276954754</v>
      </c>
      <c r="S90" s="24">
        <f t="shared" si="11"/>
        <v>6.5389219546478135</v>
      </c>
      <c r="T90" s="25">
        <f t="shared" si="11"/>
        <v>4.956170559909303</v>
      </c>
      <c r="U90" s="26">
        <f t="shared" si="11"/>
        <v>4.425741861570897</v>
      </c>
      <c r="V90" s="6"/>
      <c r="W90" s="24">
        <v>3.7304826911275164</v>
      </c>
      <c r="X90" s="25">
        <v>1.7696714706210195</v>
      </c>
      <c r="Y90" s="26">
        <v>1.1727482784740877</v>
      </c>
      <c r="Z90" s="24">
        <v>4.070781115966832</v>
      </c>
      <c r="AA90" s="25">
        <v>2.0431352814711508</v>
      </c>
      <c r="AB90" s="26">
        <v>1.4462120893242192</v>
      </c>
      <c r="AC90" s="24">
        <v>5.049424089351734</v>
      </c>
      <c r="AD90" s="25">
        <v>2.432889350755889</v>
      </c>
      <c r="AE90" s="26">
        <v>1.8359661586089584</v>
      </c>
      <c r="AF90" s="6"/>
      <c r="AG90" s="24">
        <v>43.2900632739023</v>
      </c>
      <c r="AH90" s="25">
        <v>65.46231492353971</v>
      </c>
      <c r="AI90" s="26">
        <v>63.23939766233498</v>
      </c>
      <c r="AJ90" s="24">
        <v>70.91492216515162</v>
      </c>
      <c r="AK90" s="25">
        <v>93.55119215559122</v>
      </c>
      <c r="AL90" s="26">
        <v>91.3282748943865</v>
      </c>
      <c r="AM90" s="24">
        <v>98.539781056401</v>
      </c>
      <c r="AN90" s="25">
        <v>121.64006938764273</v>
      </c>
      <c r="AO90" s="26">
        <v>119.41715212643798</v>
      </c>
      <c r="AP90" s="6"/>
      <c r="AQ90" s="24">
        <v>213.21716068539263</v>
      </c>
      <c r="AR90" s="25">
        <v>217.78973690185978</v>
      </c>
      <c r="AS90" s="24">
        <v>242.10939306039018</v>
      </c>
      <c r="AT90" s="25">
        <v>250.76240886873026</v>
      </c>
      <c r="AU90" s="24">
        <v>271.0016254353876</v>
      </c>
      <c r="AV90" s="26">
        <v>283.7350808356008</v>
      </c>
      <c r="AW90" s="4"/>
    </row>
    <row r="91" spans="1:49" ht="12.75">
      <c r="A91" s="4"/>
      <c r="B91" s="23">
        <v>2094</v>
      </c>
      <c r="C91" s="24">
        <f t="shared" si="10"/>
        <v>19.49290894460688</v>
      </c>
      <c r="D91" s="25">
        <f t="shared" si="10"/>
        <v>13.673996623347326</v>
      </c>
      <c r="E91" s="26">
        <f t="shared" si="10"/>
        <v>12.355928325080106</v>
      </c>
      <c r="F91" s="24">
        <f t="shared" si="10"/>
        <v>20.891544067896923</v>
      </c>
      <c r="G91" s="25">
        <f t="shared" si="10"/>
        <v>14.833993331448342</v>
      </c>
      <c r="H91" s="26">
        <f t="shared" si="10"/>
        <v>13.472085118883394</v>
      </c>
      <c r="I91" s="24">
        <f t="shared" si="10"/>
        <v>22.88101564347839</v>
      </c>
      <c r="J91" s="25">
        <f t="shared" si="10"/>
        <v>16.519455350502195</v>
      </c>
      <c r="K91" s="26">
        <f t="shared" si="10"/>
        <v>15.113463068933347</v>
      </c>
      <c r="L91" s="6"/>
      <c r="M91" s="24">
        <f t="shared" si="11"/>
        <v>3.9235280614140797</v>
      </c>
      <c r="N91" s="25">
        <f t="shared" si="11"/>
        <v>2.5191456921584607</v>
      </c>
      <c r="O91" s="26">
        <f t="shared" si="11"/>
        <v>1.9887169938200555</v>
      </c>
      <c r="P91" s="24">
        <f t="shared" si="11"/>
        <v>5.2312688122162685</v>
      </c>
      <c r="Q91" s="25">
        <f t="shared" si="11"/>
        <v>3.737658126033881</v>
      </c>
      <c r="R91" s="26">
        <f t="shared" si="11"/>
        <v>3.2072294276954754</v>
      </c>
      <c r="S91" s="24">
        <f t="shared" si="11"/>
        <v>6.5389219546478135</v>
      </c>
      <c r="T91" s="25">
        <f t="shared" si="11"/>
        <v>4.956170559909303</v>
      </c>
      <c r="U91" s="26">
        <f t="shared" si="11"/>
        <v>4.425741861570897</v>
      </c>
      <c r="V91" s="6"/>
      <c r="W91" s="24">
        <v>3.7304826911275164</v>
      </c>
      <c r="X91" s="25">
        <v>1.7773086694410196</v>
      </c>
      <c r="Y91" s="26">
        <v>1.1749052354847427</v>
      </c>
      <c r="Z91" s="24">
        <v>4.070781115966832</v>
      </c>
      <c r="AA91" s="25">
        <v>2.0507724802911516</v>
      </c>
      <c r="AB91" s="26">
        <v>1.4483690463348742</v>
      </c>
      <c r="AC91" s="24">
        <v>5.049424089351734</v>
      </c>
      <c r="AD91" s="25">
        <v>2.44052654957589</v>
      </c>
      <c r="AE91" s="26">
        <v>1.838123115619613</v>
      </c>
      <c r="AF91" s="6"/>
      <c r="AG91" s="24">
        <v>43.2900632739023</v>
      </c>
      <c r="AH91" s="25">
        <v>65.74825278922104</v>
      </c>
      <c r="AI91" s="26">
        <v>63.52533552801631</v>
      </c>
      <c r="AJ91" s="24">
        <v>70.91492216515162</v>
      </c>
      <c r="AK91" s="25">
        <v>93.83713002127254</v>
      </c>
      <c r="AL91" s="26">
        <v>91.61421276006782</v>
      </c>
      <c r="AM91" s="24">
        <v>98.539781056401</v>
      </c>
      <c r="AN91" s="25">
        <v>121.92600725332406</v>
      </c>
      <c r="AO91" s="26">
        <v>119.7030899921193</v>
      </c>
      <c r="AP91" s="6"/>
      <c r="AQ91" s="24">
        <v>215.00209059378398</v>
      </c>
      <c r="AR91" s="25">
        <v>219.57466681025107</v>
      </c>
      <c r="AS91" s="24">
        <v>243.8943229687815</v>
      </c>
      <c r="AT91" s="25">
        <v>252.54733877712158</v>
      </c>
      <c r="AU91" s="24">
        <v>272.78655534377896</v>
      </c>
      <c r="AV91" s="26">
        <v>285.5200107439921</v>
      </c>
      <c r="AW91" s="4"/>
    </row>
    <row r="92" spans="1:49" ht="12.75">
      <c r="A92" s="4"/>
      <c r="B92" s="23">
        <v>2095</v>
      </c>
      <c r="C92" s="24">
        <f t="shared" si="10"/>
        <v>19.49290894460688</v>
      </c>
      <c r="D92" s="25">
        <f t="shared" si="10"/>
        <v>13.673996623347326</v>
      </c>
      <c r="E92" s="26">
        <f t="shared" si="10"/>
        <v>12.355928325080106</v>
      </c>
      <c r="F92" s="24">
        <f t="shared" si="10"/>
        <v>20.891544067896923</v>
      </c>
      <c r="G92" s="25">
        <f t="shared" si="10"/>
        <v>14.833993331448342</v>
      </c>
      <c r="H92" s="26">
        <f t="shared" si="10"/>
        <v>13.472085118883394</v>
      </c>
      <c r="I92" s="24">
        <f t="shared" si="10"/>
        <v>22.88101564347839</v>
      </c>
      <c r="J92" s="25">
        <f t="shared" si="10"/>
        <v>16.519455350502195</v>
      </c>
      <c r="K92" s="26">
        <f t="shared" si="10"/>
        <v>15.113463068933347</v>
      </c>
      <c r="L92" s="6"/>
      <c r="M92" s="24">
        <f t="shared" si="11"/>
        <v>3.9235280614140797</v>
      </c>
      <c r="N92" s="25">
        <f t="shared" si="11"/>
        <v>2.5191456921584607</v>
      </c>
      <c r="O92" s="26">
        <f t="shared" si="11"/>
        <v>1.9887169938200555</v>
      </c>
      <c r="P92" s="24">
        <f t="shared" si="11"/>
        <v>5.2312688122162685</v>
      </c>
      <c r="Q92" s="25">
        <f t="shared" si="11"/>
        <v>3.737658126033881</v>
      </c>
      <c r="R92" s="26">
        <f t="shared" si="11"/>
        <v>3.2072294276954754</v>
      </c>
      <c r="S92" s="24">
        <f t="shared" si="11"/>
        <v>6.5389219546478135</v>
      </c>
      <c r="T92" s="25">
        <f t="shared" si="11"/>
        <v>4.956170559909303</v>
      </c>
      <c r="U92" s="26">
        <f t="shared" si="11"/>
        <v>4.425741861570897</v>
      </c>
      <c r="V92" s="6"/>
      <c r="W92" s="24">
        <v>3.7304826911275164</v>
      </c>
      <c r="X92" s="25">
        <v>1.7850280690310991</v>
      </c>
      <c r="Y92" s="26">
        <v>1.177085408275356</v>
      </c>
      <c r="Z92" s="24">
        <v>4.070781115966832</v>
      </c>
      <c r="AA92" s="25">
        <v>2.05849187988123</v>
      </c>
      <c r="AB92" s="26">
        <v>1.450549219125487</v>
      </c>
      <c r="AC92" s="24">
        <v>5.049424089351734</v>
      </c>
      <c r="AD92" s="25">
        <v>2.4482459491659694</v>
      </c>
      <c r="AE92" s="26">
        <v>1.8403032884102264</v>
      </c>
      <c r="AF92" s="6"/>
      <c r="AG92" s="24">
        <v>43.2900632739023</v>
      </c>
      <c r="AH92" s="25">
        <v>66.03726826402418</v>
      </c>
      <c r="AI92" s="26">
        <v>63.81435100281944</v>
      </c>
      <c r="AJ92" s="24">
        <v>70.91492216515162</v>
      </c>
      <c r="AK92" s="25">
        <v>94.12614549607568</v>
      </c>
      <c r="AL92" s="26">
        <v>91.90322823487095</v>
      </c>
      <c r="AM92" s="24">
        <v>98.539781056401</v>
      </c>
      <c r="AN92" s="25">
        <v>122.21502272812717</v>
      </c>
      <c r="AO92" s="26">
        <v>119.99210546692242</v>
      </c>
      <c r="AP92" s="6"/>
      <c r="AQ92" s="24">
        <v>216.8062320765317</v>
      </c>
      <c r="AR92" s="25">
        <v>221.3788082929988</v>
      </c>
      <c r="AS92" s="24">
        <v>245.69846445152913</v>
      </c>
      <c r="AT92" s="25">
        <v>254.3514802598693</v>
      </c>
      <c r="AU92" s="24">
        <v>274.5906968265267</v>
      </c>
      <c r="AV92" s="26">
        <v>287.3241522267398</v>
      </c>
      <c r="AW92" s="4"/>
    </row>
    <row r="93" spans="1:49" ht="12.75">
      <c r="A93" s="4"/>
      <c r="B93" s="23">
        <v>2096</v>
      </c>
      <c r="C93" s="24">
        <f aca="true" t="shared" si="12" ref="C93:K97">C92</f>
        <v>19.49290894460688</v>
      </c>
      <c r="D93" s="25">
        <f t="shared" si="12"/>
        <v>13.673996623347326</v>
      </c>
      <c r="E93" s="26">
        <f t="shared" si="12"/>
        <v>12.355928325080106</v>
      </c>
      <c r="F93" s="24">
        <f t="shared" si="12"/>
        <v>20.891544067896923</v>
      </c>
      <c r="G93" s="25">
        <f t="shared" si="12"/>
        <v>14.833993331448342</v>
      </c>
      <c r="H93" s="26">
        <f t="shared" si="12"/>
        <v>13.472085118883394</v>
      </c>
      <c r="I93" s="24">
        <f t="shared" si="12"/>
        <v>22.88101564347839</v>
      </c>
      <c r="J93" s="25">
        <f t="shared" si="12"/>
        <v>16.519455350502195</v>
      </c>
      <c r="K93" s="26">
        <f t="shared" si="12"/>
        <v>15.113463068933347</v>
      </c>
      <c r="L93" s="6"/>
      <c r="M93" s="24">
        <f aca="true" t="shared" si="13" ref="M93:U97">M92</f>
        <v>3.9235280614140797</v>
      </c>
      <c r="N93" s="25">
        <f t="shared" si="13"/>
        <v>2.5191456921584607</v>
      </c>
      <c r="O93" s="26">
        <f t="shared" si="13"/>
        <v>1.9887169938200555</v>
      </c>
      <c r="P93" s="24">
        <f t="shared" si="13"/>
        <v>5.2312688122162685</v>
      </c>
      <c r="Q93" s="25">
        <f t="shared" si="13"/>
        <v>3.737658126033881</v>
      </c>
      <c r="R93" s="26">
        <f t="shared" si="13"/>
        <v>3.2072294276954754</v>
      </c>
      <c r="S93" s="24">
        <f t="shared" si="13"/>
        <v>6.5389219546478135</v>
      </c>
      <c r="T93" s="25">
        <f t="shared" si="13"/>
        <v>4.956170559909303</v>
      </c>
      <c r="U93" s="26">
        <f t="shared" si="13"/>
        <v>4.425741861570897</v>
      </c>
      <c r="V93" s="6"/>
      <c r="W93" s="24">
        <v>3.7304826911275164</v>
      </c>
      <c r="X93" s="25">
        <v>1.7928305541353569</v>
      </c>
      <c r="Y93" s="26">
        <v>1.1792890467222277</v>
      </c>
      <c r="Z93" s="24">
        <v>4.070781115966832</v>
      </c>
      <c r="AA93" s="25">
        <v>2.066294364985488</v>
      </c>
      <c r="AB93" s="26">
        <v>1.4527528575723594</v>
      </c>
      <c r="AC93" s="24">
        <v>5.049424089351734</v>
      </c>
      <c r="AD93" s="25">
        <v>2.4560484342702273</v>
      </c>
      <c r="AE93" s="26">
        <v>1.8425069268570982</v>
      </c>
      <c r="AF93" s="6"/>
      <c r="AG93" s="24">
        <v>43.2900632739023</v>
      </c>
      <c r="AH93" s="25">
        <v>66.32939447290053</v>
      </c>
      <c r="AI93" s="26">
        <v>64.1064772116958</v>
      </c>
      <c r="AJ93" s="24">
        <v>70.91492216515162</v>
      </c>
      <c r="AK93" s="25">
        <v>94.41827170495203</v>
      </c>
      <c r="AL93" s="26">
        <v>92.1953544437473</v>
      </c>
      <c r="AM93" s="24">
        <v>98.539781056401</v>
      </c>
      <c r="AN93" s="25">
        <v>122.50714893700354</v>
      </c>
      <c r="AO93" s="26">
        <v>120.2842316757988</v>
      </c>
      <c r="AP93" s="6"/>
      <c r="AQ93" s="24">
        <v>218.62979191183342</v>
      </c>
      <c r="AR93" s="25">
        <v>223.20236812830052</v>
      </c>
      <c r="AS93" s="24">
        <v>247.52202428683086</v>
      </c>
      <c r="AT93" s="25">
        <v>256.175040095171</v>
      </c>
      <c r="AU93" s="24">
        <v>276.4142566618284</v>
      </c>
      <c r="AV93" s="26">
        <v>289.14771206204153</v>
      </c>
      <c r="AW93" s="4"/>
    </row>
    <row r="94" spans="1:49" ht="12.75">
      <c r="A94" s="4"/>
      <c r="B94" s="23">
        <v>2097</v>
      </c>
      <c r="C94" s="24">
        <f t="shared" si="12"/>
        <v>19.49290894460688</v>
      </c>
      <c r="D94" s="25">
        <f t="shared" si="12"/>
        <v>13.673996623347326</v>
      </c>
      <c r="E94" s="26">
        <f t="shared" si="12"/>
        <v>12.355928325080106</v>
      </c>
      <c r="F94" s="24">
        <f t="shared" si="12"/>
        <v>20.891544067896923</v>
      </c>
      <c r="G94" s="25">
        <f t="shared" si="12"/>
        <v>14.833993331448342</v>
      </c>
      <c r="H94" s="26">
        <f t="shared" si="12"/>
        <v>13.472085118883394</v>
      </c>
      <c r="I94" s="24">
        <f t="shared" si="12"/>
        <v>22.88101564347839</v>
      </c>
      <c r="J94" s="25">
        <f t="shared" si="12"/>
        <v>16.519455350502195</v>
      </c>
      <c r="K94" s="26">
        <f t="shared" si="12"/>
        <v>15.113463068933347</v>
      </c>
      <c r="L94" s="6"/>
      <c r="M94" s="24">
        <f t="shared" si="13"/>
        <v>3.9235280614140797</v>
      </c>
      <c r="N94" s="25">
        <f t="shared" si="13"/>
        <v>2.5191456921584607</v>
      </c>
      <c r="O94" s="26">
        <f t="shared" si="13"/>
        <v>1.9887169938200555</v>
      </c>
      <c r="P94" s="24">
        <f t="shared" si="13"/>
        <v>5.2312688122162685</v>
      </c>
      <c r="Q94" s="25">
        <f t="shared" si="13"/>
        <v>3.737658126033881</v>
      </c>
      <c r="R94" s="26">
        <f t="shared" si="13"/>
        <v>3.2072294276954754</v>
      </c>
      <c r="S94" s="24">
        <f t="shared" si="13"/>
        <v>6.5389219546478135</v>
      </c>
      <c r="T94" s="25">
        <f t="shared" si="13"/>
        <v>4.956170559909303</v>
      </c>
      <c r="U94" s="26">
        <f t="shared" si="13"/>
        <v>4.425741861570897</v>
      </c>
      <c r="V94" s="6"/>
      <c r="W94" s="24">
        <v>3.7304826911275164</v>
      </c>
      <c r="X94" s="25">
        <v>1.8007170190205801</v>
      </c>
      <c r="Y94" s="26">
        <v>1.1815164033911307</v>
      </c>
      <c r="Z94" s="24">
        <v>4.070781115966832</v>
      </c>
      <c r="AA94" s="25">
        <v>2.074180829870712</v>
      </c>
      <c r="AB94" s="26">
        <v>1.4549802142412622</v>
      </c>
      <c r="AC94" s="24">
        <v>5.049424089351734</v>
      </c>
      <c r="AD94" s="25">
        <v>2.463934899155451</v>
      </c>
      <c r="AE94" s="26">
        <v>1.8447342835260014</v>
      </c>
      <c r="AF94" s="6"/>
      <c r="AG94" s="24">
        <v>43.2900632739023</v>
      </c>
      <c r="AH94" s="25">
        <v>66.62466489733231</v>
      </c>
      <c r="AI94" s="26">
        <v>64.40174763612757</v>
      </c>
      <c r="AJ94" s="24">
        <v>70.91492216515162</v>
      </c>
      <c r="AK94" s="25">
        <v>94.71354212938381</v>
      </c>
      <c r="AL94" s="26">
        <v>92.49062486817908</v>
      </c>
      <c r="AM94" s="24">
        <v>98.539781056401</v>
      </c>
      <c r="AN94" s="25">
        <v>122.80241936143533</v>
      </c>
      <c r="AO94" s="26">
        <v>120.57950210023057</v>
      </c>
      <c r="AP94" s="6"/>
      <c r="AQ94" s="24">
        <v>220.47297910348385</v>
      </c>
      <c r="AR94" s="25">
        <v>225.04555531995095</v>
      </c>
      <c r="AS94" s="24">
        <v>249.36521147848134</v>
      </c>
      <c r="AT94" s="25">
        <v>258.01822728682146</v>
      </c>
      <c r="AU94" s="24">
        <v>278.25744385347883</v>
      </c>
      <c r="AV94" s="26">
        <v>290.990899253692</v>
      </c>
      <c r="AW94" s="4"/>
    </row>
    <row r="95" spans="1:49" ht="12.75">
      <c r="A95" s="4"/>
      <c r="B95" s="23">
        <v>2098</v>
      </c>
      <c r="C95" s="24">
        <f t="shared" si="12"/>
        <v>19.49290894460688</v>
      </c>
      <c r="D95" s="25">
        <f t="shared" si="12"/>
        <v>13.673996623347326</v>
      </c>
      <c r="E95" s="26">
        <f t="shared" si="12"/>
        <v>12.355928325080106</v>
      </c>
      <c r="F95" s="24">
        <f t="shared" si="12"/>
        <v>20.891544067896923</v>
      </c>
      <c r="G95" s="25">
        <f t="shared" si="12"/>
        <v>14.833993331448342</v>
      </c>
      <c r="H95" s="26">
        <f t="shared" si="12"/>
        <v>13.472085118883394</v>
      </c>
      <c r="I95" s="24">
        <f t="shared" si="12"/>
        <v>22.88101564347839</v>
      </c>
      <c r="J95" s="25">
        <f t="shared" si="12"/>
        <v>16.519455350502195</v>
      </c>
      <c r="K95" s="26">
        <f t="shared" si="12"/>
        <v>15.113463068933347</v>
      </c>
      <c r="L95" s="6"/>
      <c r="M95" s="24">
        <f t="shared" si="13"/>
        <v>3.9235280614140797</v>
      </c>
      <c r="N95" s="25">
        <f t="shared" si="13"/>
        <v>2.5191456921584607</v>
      </c>
      <c r="O95" s="26">
        <f t="shared" si="13"/>
        <v>1.9887169938200555</v>
      </c>
      <c r="P95" s="24">
        <f t="shared" si="13"/>
        <v>5.2312688122162685</v>
      </c>
      <c r="Q95" s="25">
        <f t="shared" si="13"/>
        <v>3.737658126033881</v>
      </c>
      <c r="R95" s="26">
        <f t="shared" si="13"/>
        <v>3.2072294276954754</v>
      </c>
      <c r="S95" s="24">
        <f t="shared" si="13"/>
        <v>6.5389219546478135</v>
      </c>
      <c r="T95" s="25">
        <f t="shared" si="13"/>
        <v>4.956170559909303</v>
      </c>
      <c r="U95" s="26">
        <f t="shared" si="13"/>
        <v>4.425741861570897</v>
      </c>
      <c r="V95" s="6"/>
      <c r="W95" s="24">
        <v>3.7304826911275164</v>
      </c>
      <c r="X95" s="25">
        <v>1.808688367578737</v>
      </c>
      <c r="Y95" s="26">
        <v>1.1837677335662549</v>
      </c>
      <c r="Z95" s="24">
        <v>4.070781115966832</v>
      </c>
      <c r="AA95" s="25">
        <v>2.0821521784288683</v>
      </c>
      <c r="AB95" s="26">
        <v>1.4572315444163866</v>
      </c>
      <c r="AC95" s="24">
        <v>5.049424089351734</v>
      </c>
      <c r="AD95" s="25">
        <v>2.471906247713607</v>
      </c>
      <c r="AE95" s="26">
        <v>1.8469856137011254</v>
      </c>
      <c r="AF95" s="6"/>
      <c r="AG95" s="24">
        <v>43.2900632739023</v>
      </c>
      <c r="AH95" s="25">
        <v>66.9231133791699</v>
      </c>
      <c r="AI95" s="26">
        <v>64.70019611796518</v>
      </c>
      <c r="AJ95" s="24">
        <v>70.91492216515162</v>
      </c>
      <c r="AK95" s="25">
        <v>95.0119906112214</v>
      </c>
      <c r="AL95" s="26">
        <v>92.78907335001668</v>
      </c>
      <c r="AM95" s="24">
        <v>98.539781056401</v>
      </c>
      <c r="AN95" s="25">
        <v>123.10086784327291</v>
      </c>
      <c r="AO95" s="26">
        <v>120.87795058206817</v>
      </c>
      <c r="AP95" s="6"/>
      <c r="AQ95" s="24">
        <v>222.3360049048292</v>
      </c>
      <c r="AR95" s="25">
        <v>226.90858112129632</v>
      </c>
      <c r="AS95" s="24">
        <v>251.22823727982666</v>
      </c>
      <c r="AT95" s="25">
        <v>259.8812530881668</v>
      </c>
      <c r="AU95" s="24">
        <v>280.12046965482415</v>
      </c>
      <c r="AV95" s="26">
        <v>292.85392505503734</v>
      </c>
      <c r="AW95" s="4"/>
    </row>
    <row r="96" spans="1:49" ht="12.75">
      <c r="A96" s="4"/>
      <c r="B96" s="23">
        <v>2099</v>
      </c>
      <c r="C96" s="24">
        <f t="shared" si="12"/>
        <v>19.49290894460688</v>
      </c>
      <c r="D96" s="25">
        <f t="shared" si="12"/>
        <v>13.673996623347326</v>
      </c>
      <c r="E96" s="26">
        <f t="shared" si="12"/>
        <v>12.355928325080106</v>
      </c>
      <c r="F96" s="24">
        <f t="shared" si="12"/>
        <v>20.891544067896923</v>
      </c>
      <c r="G96" s="25">
        <f t="shared" si="12"/>
        <v>14.833993331448342</v>
      </c>
      <c r="H96" s="26">
        <f t="shared" si="12"/>
        <v>13.472085118883394</v>
      </c>
      <c r="I96" s="24">
        <f t="shared" si="12"/>
        <v>22.88101564347839</v>
      </c>
      <c r="J96" s="25">
        <f t="shared" si="12"/>
        <v>16.519455350502195</v>
      </c>
      <c r="K96" s="26">
        <f t="shared" si="12"/>
        <v>15.113463068933347</v>
      </c>
      <c r="L96" s="6"/>
      <c r="M96" s="24">
        <f t="shared" si="13"/>
        <v>3.9235280614140797</v>
      </c>
      <c r="N96" s="25">
        <f t="shared" si="13"/>
        <v>2.5191456921584607</v>
      </c>
      <c r="O96" s="26">
        <f t="shared" si="13"/>
        <v>1.9887169938200555</v>
      </c>
      <c r="P96" s="24">
        <f t="shared" si="13"/>
        <v>5.2312688122162685</v>
      </c>
      <c r="Q96" s="25">
        <f t="shared" si="13"/>
        <v>3.737658126033881</v>
      </c>
      <c r="R96" s="26">
        <f t="shared" si="13"/>
        <v>3.2072294276954754</v>
      </c>
      <c r="S96" s="24">
        <f t="shared" si="13"/>
        <v>6.5389219546478135</v>
      </c>
      <c r="T96" s="25">
        <f t="shared" si="13"/>
        <v>4.956170559909303</v>
      </c>
      <c r="U96" s="26">
        <f t="shared" si="13"/>
        <v>4.425741861570897</v>
      </c>
      <c r="V96" s="6"/>
      <c r="W96" s="24">
        <v>3.7304826911275164</v>
      </c>
      <c r="X96" s="25">
        <v>1.8167455134305723</v>
      </c>
      <c r="Y96" s="26">
        <v>1.1860432952794673</v>
      </c>
      <c r="Z96" s="24">
        <v>4.070781115966832</v>
      </c>
      <c r="AA96" s="25">
        <v>2.090209324280704</v>
      </c>
      <c r="AB96" s="26">
        <v>1.4595071061295986</v>
      </c>
      <c r="AC96" s="24">
        <v>5.049424089351734</v>
      </c>
      <c r="AD96" s="25">
        <v>2.4799633935654426</v>
      </c>
      <c r="AE96" s="26">
        <v>1.8492611754143378</v>
      </c>
      <c r="AF96" s="6"/>
      <c r="AG96" s="24">
        <v>43.2900632739023</v>
      </c>
      <c r="AH96" s="25">
        <v>67.22477412451065</v>
      </c>
      <c r="AI96" s="26">
        <v>65.00185686330592</v>
      </c>
      <c r="AJ96" s="24">
        <v>70.91492216515162</v>
      </c>
      <c r="AK96" s="25">
        <v>95.31365135656216</v>
      </c>
      <c r="AL96" s="26">
        <v>93.09073409535743</v>
      </c>
      <c r="AM96" s="24">
        <v>98.539781056401</v>
      </c>
      <c r="AN96" s="25">
        <v>123.40252858861366</v>
      </c>
      <c r="AO96" s="26">
        <v>121.17961132740892</v>
      </c>
      <c r="AP96" s="6"/>
      <c r="AQ96" s="24">
        <v>224.21908284297953</v>
      </c>
      <c r="AR96" s="25">
        <v>228.79165905944663</v>
      </c>
      <c r="AS96" s="24">
        <v>253.11131521797705</v>
      </c>
      <c r="AT96" s="25">
        <v>261.76433102631717</v>
      </c>
      <c r="AU96" s="24">
        <v>282.0035475929745</v>
      </c>
      <c r="AV96" s="26">
        <v>294.7370029931877</v>
      </c>
      <c r="AW96" s="4"/>
    </row>
    <row r="97" spans="1:49" ht="13.5" thickBot="1">
      <c r="A97" s="4"/>
      <c r="B97" s="33">
        <v>2100</v>
      </c>
      <c r="C97" s="34">
        <f t="shared" si="12"/>
        <v>19.49290894460688</v>
      </c>
      <c r="D97" s="35">
        <f t="shared" si="12"/>
        <v>13.673996623347326</v>
      </c>
      <c r="E97" s="36">
        <f t="shared" si="12"/>
        <v>12.355928325080106</v>
      </c>
      <c r="F97" s="34">
        <f t="shared" si="12"/>
        <v>20.891544067896923</v>
      </c>
      <c r="G97" s="35">
        <f t="shared" si="12"/>
        <v>14.833993331448342</v>
      </c>
      <c r="H97" s="36">
        <f t="shared" si="12"/>
        <v>13.472085118883394</v>
      </c>
      <c r="I97" s="34">
        <f t="shared" si="12"/>
        <v>22.88101564347839</v>
      </c>
      <c r="J97" s="35">
        <f t="shared" si="12"/>
        <v>16.519455350502195</v>
      </c>
      <c r="K97" s="36">
        <f t="shared" si="12"/>
        <v>15.113463068933347</v>
      </c>
      <c r="L97" s="6"/>
      <c r="M97" s="34">
        <f t="shared" si="13"/>
        <v>3.9235280614140797</v>
      </c>
      <c r="N97" s="35">
        <f t="shared" si="13"/>
        <v>2.5191456921584607</v>
      </c>
      <c r="O97" s="36">
        <f t="shared" si="13"/>
        <v>1.9887169938200555</v>
      </c>
      <c r="P97" s="34">
        <f t="shared" si="13"/>
        <v>5.2312688122162685</v>
      </c>
      <c r="Q97" s="35">
        <f t="shared" si="13"/>
        <v>3.737658126033881</v>
      </c>
      <c r="R97" s="36">
        <f t="shared" si="13"/>
        <v>3.2072294276954754</v>
      </c>
      <c r="S97" s="34">
        <f t="shared" si="13"/>
        <v>6.5389219546478135</v>
      </c>
      <c r="T97" s="35">
        <f t="shared" si="13"/>
        <v>4.956170559909303</v>
      </c>
      <c r="U97" s="36">
        <f t="shared" si="13"/>
        <v>4.425741861570897</v>
      </c>
      <c r="V97" s="6"/>
      <c r="W97" s="34">
        <v>3.7304826911275164</v>
      </c>
      <c r="X97" s="35">
        <v>1.8248893800303236</v>
      </c>
      <c r="Y97" s="36">
        <v>1.1883433493398865</v>
      </c>
      <c r="Z97" s="34">
        <v>4.070781115966832</v>
      </c>
      <c r="AA97" s="35">
        <v>2.0983531908804554</v>
      </c>
      <c r="AB97" s="36">
        <v>1.461807160190018</v>
      </c>
      <c r="AC97" s="34">
        <v>5.049424089351734</v>
      </c>
      <c r="AD97" s="35">
        <v>2.488107260165194</v>
      </c>
      <c r="AE97" s="36">
        <v>1.8515612294747568</v>
      </c>
      <c r="AF97" s="6"/>
      <c r="AG97" s="34">
        <v>43.2900632739023</v>
      </c>
      <c r="AH97" s="35">
        <v>67.52968170761925</v>
      </c>
      <c r="AI97" s="36">
        <v>65.30676444641452</v>
      </c>
      <c r="AJ97" s="34">
        <v>70.91492216515162</v>
      </c>
      <c r="AK97" s="35">
        <v>95.61855893967075</v>
      </c>
      <c r="AL97" s="36">
        <v>93.39564167846602</v>
      </c>
      <c r="AM97" s="34">
        <v>98.539781056401</v>
      </c>
      <c r="AN97" s="35">
        <v>123.70743617172225</v>
      </c>
      <c r="AO97" s="36">
        <v>121.48451891051751</v>
      </c>
      <c r="AP97" s="6"/>
      <c r="AQ97" s="34">
        <v>226.1224287432823</v>
      </c>
      <c r="AR97" s="35">
        <v>230.69500495974938</v>
      </c>
      <c r="AS97" s="34">
        <v>255.01466111827972</v>
      </c>
      <c r="AT97" s="35">
        <v>263.66767692661983</v>
      </c>
      <c r="AU97" s="34">
        <v>283.9068934932772</v>
      </c>
      <c r="AV97" s="36">
        <v>296.6403488934904</v>
      </c>
      <c r="AW97" s="4"/>
    </row>
    <row r="98" spans="1:49" ht="12.75">
      <c r="A98" s="4"/>
      <c r="B98" s="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4"/>
    </row>
    <row r="99" spans="1:49" ht="12.75">
      <c r="A99" s="4"/>
      <c r="B99" s="37" t="s">
        <v>91</v>
      </c>
      <c r="C99" s="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38"/>
      <c r="AH99" s="6"/>
      <c r="AI99" s="6"/>
      <c r="AJ99" s="6"/>
      <c r="AK99" s="6"/>
      <c r="AL99" s="6"/>
      <c r="AM99" s="6"/>
      <c r="AN99" s="6"/>
      <c r="AO99" s="6"/>
      <c r="AP99" s="6"/>
      <c r="AQ99" s="37" t="s">
        <v>92</v>
      </c>
      <c r="AR99" s="6"/>
      <c r="AS99" s="6"/>
      <c r="AT99" s="6"/>
      <c r="AU99" s="6"/>
      <c r="AV99" s="6"/>
      <c r="AW99" s="4"/>
    </row>
    <row r="100" spans="1:49" ht="12.75">
      <c r="A100" s="4"/>
      <c r="B100" s="4" t="s">
        <v>93</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38"/>
      <c r="AR100" s="6"/>
      <c r="AS100" s="6"/>
      <c r="AT100" s="6"/>
      <c r="AU100" s="6"/>
      <c r="AV100" s="6"/>
      <c r="AW100" s="4"/>
    </row>
    <row r="101" spans="1:49" ht="12.75">
      <c r="A101" s="4"/>
      <c r="B101" s="4"/>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38" t="s">
        <v>94</v>
      </c>
      <c r="AR101" s="6"/>
      <c r="AS101" s="6"/>
      <c r="AT101" s="6"/>
      <c r="AU101" s="6"/>
      <c r="AV101" s="6"/>
      <c r="AW101" s="4"/>
    </row>
    <row r="102" spans="1:49" ht="12.75">
      <c r="A102" s="4"/>
      <c r="B102" s="4"/>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38" t="s">
        <v>95</v>
      </c>
      <c r="AR102" s="6"/>
      <c r="AS102" s="6"/>
      <c r="AT102" s="6"/>
      <c r="AU102" s="6"/>
      <c r="AV102" s="6"/>
      <c r="AW102" s="4"/>
    </row>
    <row r="103" spans="1:49" ht="12.75">
      <c r="A103" s="4"/>
      <c r="B103" s="4" t="s">
        <v>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4"/>
    </row>
    <row r="104" spans="1:49" ht="12.75">
      <c r="A104" s="4"/>
      <c r="B104" s="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4"/>
    </row>
  </sheetData>
  <sheetProtection/>
  <mergeCells count="20">
    <mergeCell ref="C4:K4"/>
    <mergeCell ref="M4:U4"/>
    <mergeCell ref="S5:U5"/>
    <mergeCell ref="Z5:AB5"/>
    <mergeCell ref="AC5:AE5"/>
    <mergeCell ref="C5:E5"/>
    <mergeCell ref="F5:H5"/>
    <mergeCell ref="I5:K5"/>
    <mergeCell ref="M5:O5"/>
    <mergeCell ref="P5:R5"/>
    <mergeCell ref="AG5:AI5"/>
    <mergeCell ref="AJ5:AL5"/>
    <mergeCell ref="W4:AE4"/>
    <mergeCell ref="AG4:AO4"/>
    <mergeCell ref="AQ4:AV4"/>
    <mergeCell ref="AM5:AO5"/>
    <mergeCell ref="AQ5:AR5"/>
    <mergeCell ref="AS5:AT5"/>
    <mergeCell ref="AU5:AV5"/>
    <mergeCell ref="W5:Y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00B050"/>
  </sheetPr>
  <dimension ref="A1:F16"/>
  <sheetViews>
    <sheetView zoomScale="120" zoomScaleNormal="120" zoomScalePageLayoutView="0" workbookViewId="0" topLeftCell="A1">
      <selection activeCell="B10" sqref="B10:E10"/>
    </sheetView>
  </sheetViews>
  <sheetFormatPr defaultColWidth="9.140625" defaultRowHeight="12.75"/>
  <cols>
    <col min="1" max="1" width="3.7109375" style="235" customWidth="1"/>
    <col min="2" max="2" width="31.140625" style="235" customWidth="1"/>
    <col min="3" max="3" width="29.7109375" style="235" customWidth="1"/>
    <col min="4" max="4" width="17.140625" style="235" customWidth="1"/>
    <col min="5" max="5" width="9.140625" style="235" customWidth="1"/>
    <col min="6" max="6" width="3.7109375" style="235" customWidth="1"/>
    <col min="7" max="16384" width="9.140625" style="235" customWidth="1"/>
  </cols>
  <sheetData>
    <row r="1" spans="1:6" ht="12.75">
      <c r="A1" s="232"/>
      <c r="B1" s="233"/>
      <c r="C1" s="233"/>
      <c r="D1" s="233"/>
      <c r="E1" s="233"/>
      <c r="F1" s="234"/>
    </row>
    <row r="2" spans="1:6" ht="44.25" customHeight="1">
      <c r="A2" s="236"/>
      <c r="B2" s="338" t="s">
        <v>497</v>
      </c>
      <c r="C2" s="338"/>
      <c r="D2" s="338"/>
      <c r="E2" s="338"/>
      <c r="F2" s="237"/>
    </row>
    <row r="3" spans="1:6" ht="12.75">
      <c r="A3" s="236"/>
      <c r="B3" s="238"/>
      <c r="C3" s="238"/>
      <c r="D3" s="238"/>
      <c r="E3" s="238"/>
      <c r="F3" s="237"/>
    </row>
    <row r="4" spans="1:6" ht="60" customHeight="1">
      <c r="A4" s="236"/>
      <c r="B4" s="339" t="s">
        <v>498</v>
      </c>
      <c r="C4" s="340"/>
      <c r="D4" s="340"/>
      <c r="E4" s="341"/>
      <c r="F4" s="237"/>
    </row>
    <row r="5" spans="1:6" ht="12.75">
      <c r="A5" s="236"/>
      <c r="B5" s="238"/>
      <c r="C5" s="238"/>
      <c r="D5" s="238"/>
      <c r="E5" s="238"/>
      <c r="F5" s="237"/>
    </row>
    <row r="6" spans="1:6" ht="12.75">
      <c r="A6" s="236"/>
      <c r="B6" s="122" t="s">
        <v>499</v>
      </c>
      <c r="C6" s="238"/>
      <c r="D6" s="238"/>
      <c r="E6" s="238"/>
      <c r="F6" s="237"/>
    </row>
    <row r="7" spans="1:6" ht="159" customHeight="1">
      <c r="A7" s="236"/>
      <c r="B7" s="331" t="s">
        <v>502</v>
      </c>
      <c r="C7" s="332"/>
      <c r="D7" s="332"/>
      <c r="E7" s="333"/>
      <c r="F7" s="237"/>
    </row>
    <row r="8" spans="1:6" ht="12.75">
      <c r="A8" s="236"/>
      <c r="B8" s="238"/>
      <c r="C8" s="238"/>
      <c r="D8" s="238"/>
      <c r="E8" s="238"/>
      <c r="F8" s="237"/>
    </row>
    <row r="9" spans="1:6" ht="12.75">
      <c r="A9" s="236"/>
      <c r="B9" s="122" t="s">
        <v>501</v>
      </c>
      <c r="C9" s="238"/>
      <c r="D9" s="238"/>
      <c r="E9" s="238"/>
      <c r="F9" s="237"/>
    </row>
    <row r="10" spans="1:6" ht="333.75" customHeight="1">
      <c r="A10" s="236"/>
      <c r="B10" s="331" t="s">
        <v>503</v>
      </c>
      <c r="C10" s="332"/>
      <c r="D10" s="332"/>
      <c r="E10" s="333"/>
      <c r="F10" s="237"/>
    </row>
    <row r="11" spans="1:6" ht="12.75">
      <c r="A11" s="236"/>
      <c r="B11" s="238"/>
      <c r="C11" s="238"/>
      <c r="D11" s="238"/>
      <c r="E11" s="238"/>
      <c r="F11" s="237"/>
    </row>
    <row r="12" spans="1:6" ht="12.75">
      <c r="A12" s="236"/>
      <c r="B12" s="122" t="s">
        <v>315</v>
      </c>
      <c r="C12" s="238"/>
      <c r="D12" s="238"/>
      <c r="E12" s="238"/>
      <c r="F12" s="237"/>
    </row>
    <row r="13" spans="1:6" ht="158.25" customHeight="1">
      <c r="A13" s="236"/>
      <c r="B13" s="334" t="s">
        <v>599</v>
      </c>
      <c r="C13" s="332"/>
      <c r="D13" s="332"/>
      <c r="E13" s="333"/>
      <c r="F13" s="237"/>
    </row>
    <row r="14" spans="1:6" ht="12.75">
      <c r="A14" s="236"/>
      <c r="B14" s="238"/>
      <c r="C14" s="238"/>
      <c r="D14" s="238"/>
      <c r="E14" s="238"/>
      <c r="F14" s="237"/>
    </row>
    <row r="15" spans="1:6" ht="14.25">
      <c r="A15" s="236"/>
      <c r="B15" s="335" t="s">
        <v>500</v>
      </c>
      <c r="C15" s="336"/>
      <c r="D15" s="336"/>
      <c r="E15" s="337"/>
      <c r="F15" s="237"/>
    </row>
    <row r="16" spans="1:6" ht="13.5" thickBot="1">
      <c r="A16" s="239"/>
      <c r="B16" s="240"/>
      <c r="C16" s="240"/>
      <c r="D16" s="240"/>
      <c r="E16" s="240"/>
      <c r="F16" s="241"/>
    </row>
  </sheetData>
  <sheetProtection selectLockedCells="1"/>
  <mergeCells count="6">
    <mergeCell ref="B10:E10"/>
    <mergeCell ref="B13:E13"/>
    <mergeCell ref="B15:E15"/>
    <mergeCell ref="B2:E2"/>
    <mergeCell ref="B4:E4"/>
    <mergeCell ref="B7:E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00B0F0"/>
  </sheetPr>
  <dimension ref="A1:I124"/>
  <sheetViews>
    <sheetView zoomScale="115" zoomScaleNormal="115" zoomScalePageLayoutView="0" workbookViewId="0" topLeftCell="A43">
      <selection activeCell="C10" sqref="C10"/>
    </sheetView>
  </sheetViews>
  <sheetFormatPr defaultColWidth="9.140625" defaultRowHeight="12.75"/>
  <cols>
    <col min="1" max="1" width="4.8515625" style="105" customWidth="1"/>
    <col min="2" max="2" width="29.140625" style="159" customWidth="1"/>
    <col min="3" max="3" width="43.00390625" style="159" customWidth="1"/>
    <col min="4" max="4" width="13.8515625" style="159" customWidth="1"/>
    <col min="5" max="5" width="11.57421875" style="159" customWidth="1"/>
    <col min="6" max="6" width="6.28125" style="159" customWidth="1"/>
    <col min="7" max="7" width="13.8515625" style="105" bestFit="1" customWidth="1"/>
    <col min="8" max="16384" width="9.140625" style="105" customWidth="1"/>
  </cols>
  <sheetData>
    <row r="1" spans="1:8" ht="12.75">
      <c r="A1" s="156"/>
      <c r="B1" s="157"/>
      <c r="C1" s="157"/>
      <c r="D1" s="157"/>
      <c r="E1" s="157"/>
      <c r="F1" s="158"/>
      <c r="H1" s="159"/>
    </row>
    <row r="2" spans="1:8" ht="42.75" customHeight="1">
      <c r="A2" s="160"/>
      <c r="B2" s="350" t="s">
        <v>385</v>
      </c>
      <c r="C2" s="350"/>
      <c r="D2" s="350"/>
      <c r="E2" s="229"/>
      <c r="F2" s="161"/>
      <c r="H2" s="159"/>
    </row>
    <row r="3" spans="1:8" ht="8.25" customHeight="1">
      <c r="A3" s="160"/>
      <c r="B3" s="147"/>
      <c r="C3" s="147"/>
      <c r="D3" s="147"/>
      <c r="E3" s="147"/>
      <c r="F3" s="161"/>
      <c r="H3" s="159"/>
    </row>
    <row r="4" spans="1:8" ht="30" customHeight="1">
      <c r="A4" s="160"/>
      <c r="B4" s="351" t="s">
        <v>312</v>
      </c>
      <c r="C4" s="351"/>
      <c r="D4" s="351"/>
      <c r="E4" s="230"/>
      <c r="F4" s="161"/>
      <c r="H4" s="159"/>
    </row>
    <row r="5" spans="1:8" ht="12.75">
      <c r="A5" s="160"/>
      <c r="B5" s="147"/>
      <c r="C5" s="147"/>
      <c r="D5" s="147"/>
      <c r="E5" s="147"/>
      <c r="F5" s="161"/>
      <c r="H5" s="159"/>
    </row>
    <row r="6" spans="1:8" ht="93.75" customHeight="1">
      <c r="A6" s="160"/>
      <c r="B6" s="342" t="s">
        <v>562</v>
      </c>
      <c r="C6" s="343"/>
      <c r="D6" s="343"/>
      <c r="E6" s="344"/>
      <c r="F6" s="161"/>
      <c r="H6" s="159"/>
    </row>
    <row r="7" spans="1:8" ht="21.75" customHeight="1">
      <c r="A7" s="160"/>
      <c r="B7" s="357" t="s">
        <v>454</v>
      </c>
      <c r="C7" s="357"/>
      <c r="D7" s="147"/>
      <c r="E7" s="147"/>
      <c r="F7" s="161"/>
      <c r="H7" s="159"/>
    </row>
    <row r="8" spans="1:9" s="163" customFormat="1" ht="12.75" customHeight="1">
      <c r="A8" s="162"/>
      <c r="B8" s="152"/>
      <c r="C8" s="152"/>
      <c r="D8" s="352" t="s">
        <v>314</v>
      </c>
      <c r="E8" s="352"/>
      <c r="F8" s="353"/>
      <c r="H8" s="164"/>
      <c r="I8" s="165"/>
    </row>
    <row r="9" spans="1:9" s="163" customFormat="1" ht="12">
      <c r="A9" s="166"/>
      <c r="B9" s="151" t="s">
        <v>313</v>
      </c>
      <c r="C9" s="152"/>
      <c r="D9" s="352"/>
      <c r="E9" s="352"/>
      <c r="F9" s="353"/>
      <c r="G9" s="167"/>
      <c r="H9" s="164" t="s">
        <v>395</v>
      </c>
      <c r="I9" s="165">
        <f>SUM(F11:F17)</f>
        <v>5</v>
      </c>
    </row>
    <row r="10" spans="1:9" s="163" customFormat="1" ht="15.75" customHeight="1">
      <c r="A10" s="162"/>
      <c r="B10" s="168" t="s">
        <v>391</v>
      </c>
      <c r="C10" s="169"/>
      <c r="D10" s="152"/>
      <c r="E10" s="152"/>
      <c r="F10" s="170">
        <f>IF(C10="",1,0)</f>
        <v>1</v>
      </c>
      <c r="H10" s="165" t="s">
        <v>398</v>
      </c>
      <c r="I10" s="165">
        <f>SUM(F20:F32)</f>
        <v>8</v>
      </c>
    </row>
    <row r="11" spans="1:9" s="163" customFormat="1" ht="24">
      <c r="A11" s="162"/>
      <c r="B11" s="171" t="s">
        <v>466</v>
      </c>
      <c r="C11" s="169"/>
      <c r="D11" s="152"/>
      <c r="E11" s="152"/>
      <c r="F11" s="170">
        <f>IF(C11="",1,0)</f>
        <v>1</v>
      </c>
      <c r="H11" s="165" t="s">
        <v>402</v>
      </c>
      <c r="I11" s="165">
        <f>IF(C29="Air Conditioning",1,0)</f>
        <v>0</v>
      </c>
    </row>
    <row r="12" spans="1:9" s="163" customFormat="1" ht="12">
      <c r="A12" s="162"/>
      <c r="B12" s="171" t="s">
        <v>280</v>
      </c>
      <c r="C12" s="169"/>
      <c r="D12" s="152"/>
      <c r="E12" s="152"/>
      <c r="F12" s="172">
        <f>IF(C12="",1,0)</f>
        <v>1</v>
      </c>
      <c r="H12" s="165" t="s">
        <v>413</v>
      </c>
      <c r="I12" s="165">
        <f>SUM(F38:F62)</f>
        <v>11</v>
      </c>
    </row>
    <row r="13" spans="1:9" s="163" customFormat="1" ht="12">
      <c r="A13" s="162"/>
      <c r="B13" s="171" t="s">
        <v>57</v>
      </c>
      <c r="C13" s="169"/>
      <c r="D13" s="152"/>
      <c r="E13" s="152"/>
      <c r="F13" s="172">
        <f>IF(C13="",1,0)</f>
        <v>1</v>
      </c>
      <c r="H13" s="165" t="s">
        <v>432</v>
      </c>
      <c r="I13" s="165">
        <f>SUM(F67:F103)+SUM(F106:F109)</f>
        <v>35</v>
      </c>
    </row>
    <row r="14" spans="1:9" s="163" customFormat="1" ht="24">
      <c r="A14" s="162"/>
      <c r="B14" s="171" t="s">
        <v>474</v>
      </c>
      <c r="C14" s="169"/>
      <c r="D14" s="152"/>
      <c r="E14" s="152"/>
      <c r="F14" s="172">
        <f>IF(OR(C14="",C14=0),1,0)</f>
        <v>1</v>
      </c>
      <c r="H14" s="165" t="s">
        <v>433</v>
      </c>
      <c r="I14" s="165">
        <f>SUM(F23:F27)</f>
        <v>3</v>
      </c>
    </row>
    <row r="15" spans="1:9" s="163" customFormat="1" ht="36">
      <c r="A15" s="162"/>
      <c r="B15" s="171" t="s">
        <v>471</v>
      </c>
      <c r="C15" s="169"/>
      <c r="D15" s="173">
        <f>IF(C13="Domestic","Not Required","")</f>
      </c>
      <c r="E15" s="174"/>
      <c r="F15" s="172">
        <f>IF(AND(OR(C15="",C15=0),OR(C13="Mixed",C13="Non-domestic")),1,0)</f>
        <v>0</v>
      </c>
      <c r="H15" s="165"/>
      <c r="I15" s="165"/>
    </row>
    <row r="16" spans="1:6" s="163" customFormat="1" ht="24">
      <c r="A16" s="162"/>
      <c r="B16" s="171" t="s">
        <v>470</v>
      </c>
      <c r="C16" s="169"/>
      <c r="D16" s="173">
        <f>IF(C13="Non-Domestic","Not Required","")</f>
      </c>
      <c r="E16" s="174"/>
      <c r="F16" s="172">
        <f>IF(AND(OR(C16="",C16=0),OR(C13="Domestic",C13="Mixed")),1,0)</f>
        <v>0</v>
      </c>
    </row>
    <row r="17" spans="1:6" s="163" customFormat="1" ht="30.75" customHeight="1">
      <c r="A17" s="162"/>
      <c r="B17" s="168" t="s">
        <v>411</v>
      </c>
      <c r="C17" s="169"/>
      <c r="D17" s="175"/>
      <c r="E17" s="175"/>
      <c r="F17" s="172">
        <f>IF(C17="",1,0)</f>
        <v>1</v>
      </c>
    </row>
    <row r="18" spans="1:6" s="163" customFormat="1" ht="12">
      <c r="A18" s="162"/>
      <c r="B18" s="152"/>
      <c r="C18" s="152"/>
      <c r="D18" s="152"/>
      <c r="E18" s="152"/>
      <c r="F18" s="172"/>
    </row>
    <row r="19" spans="1:6" s="163" customFormat="1" ht="12">
      <c r="A19" s="162"/>
      <c r="B19" s="151" t="s">
        <v>390</v>
      </c>
      <c r="C19" s="152"/>
      <c r="D19" s="152"/>
      <c r="E19" s="152"/>
      <c r="F19" s="172"/>
    </row>
    <row r="20" spans="1:6" s="163" customFormat="1" ht="48">
      <c r="A20" s="162"/>
      <c r="B20" s="176" t="s">
        <v>563</v>
      </c>
      <c r="C20" s="177"/>
      <c r="D20" s="178">
        <f>IF($C$13="Non-domestic","Not Required","")</f>
      </c>
      <c r="E20" s="174"/>
      <c r="F20" s="179">
        <f>IF(C13="Non-domestic",0,IF(C20="",1,0))</f>
        <v>1</v>
      </c>
    </row>
    <row r="21" spans="1:6" s="163" customFormat="1" ht="30" customHeight="1">
      <c r="A21" s="162"/>
      <c r="B21" s="356">
        <f>IF(AND($C$13="Domestic",C20&lt;&gt;LTHW,C20&lt;&gt;""),NON_VIABLE,"")</f>
      </c>
      <c r="C21" s="356"/>
      <c r="D21" s="152"/>
      <c r="E21" s="152"/>
      <c r="F21" s="172"/>
    </row>
    <row r="22" spans="1:6" s="163" customFormat="1" ht="48">
      <c r="A22" s="162"/>
      <c r="B22" s="180" t="s">
        <v>564</v>
      </c>
      <c r="C22" s="177"/>
      <c r="D22" s="178">
        <f>IF($C$13="Domestic","Not Required","")</f>
      </c>
      <c r="E22" s="174"/>
      <c r="F22" s="179">
        <f>IF($C$13="Domestic",0,IF(C22="",1,0))</f>
        <v>1</v>
      </c>
    </row>
    <row r="23" spans="1:6" s="163" customFormat="1" ht="36">
      <c r="A23" s="162"/>
      <c r="B23" s="181" t="s">
        <v>565</v>
      </c>
      <c r="C23" s="177"/>
      <c r="D23" s="178">
        <f>IF($C$13="Domestic","Not Required","")</f>
      </c>
      <c r="E23" s="178"/>
      <c r="F23" s="179">
        <f>IF($C$13="Domestic","",IF(C23="",1,0))</f>
        <v>1</v>
      </c>
    </row>
    <row r="24" spans="1:6" s="163" customFormat="1" ht="30" customHeight="1">
      <c r="A24" s="162"/>
      <c r="B24" s="356">
        <f>IF(AND($C$13="Non-domestic",C22="Other",C22&lt;&gt;"",C23=""),"Evaluation of requirements for Heating Meters and HCAs has been completed. Please continue with evaluation of Cooling.",IF(AND($C$13="Non-domestic",C22="Other",C22&lt;&gt;"",C23="No"),NON_VIABLE,""))</f>
      </c>
      <c r="C24" s="356"/>
      <c r="D24" s="152"/>
      <c r="E24" s="152"/>
      <c r="F24" s="172"/>
    </row>
    <row r="25" spans="1:6" s="163" customFormat="1" ht="48">
      <c r="A25" s="162"/>
      <c r="B25" s="182" t="s">
        <v>566</v>
      </c>
      <c r="C25" s="177"/>
      <c r="D25" s="178">
        <f>IF(C25="",IF($C$13="Domestic","Not Required",IF(AND(Controller!$J$107&gt;0),"Not Required","")),"")</f>
      </c>
      <c r="E25" s="174"/>
      <c r="F25" s="179">
        <f>IF($C$13="Domestic",0,IF(AND(Controller!$J$107&gt;0),0,IF(C25="",1,0)))</f>
        <v>1</v>
      </c>
    </row>
    <row r="26" spans="1:6" s="163" customFormat="1" ht="30" customHeight="1">
      <c r="A26" s="162"/>
      <c r="B26" s="346">
        <f>IF(AND($C$22="Other",$C$23="No",C25="Other"),NON_VIABLE,"")</f>
      </c>
      <c r="C26" s="346"/>
      <c r="D26" s="152"/>
      <c r="E26" s="152"/>
      <c r="F26" s="172"/>
    </row>
    <row r="27" spans="1:6" s="163" customFormat="1" ht="60">
      <c r="A27" s="162"/>
      <c r="B27" s="182" t="s">
        <v>567</v>
      </c>
      <c r="C27" s="177"/>
      <c r="D27" s="178">
        <f>IF(C27="",IF($C$13="Domestic","Not Required",IF(AND(Controller!$J$107&gt;0),"Not Required","")),"")</f>
      </c>
      <c r="E27" s="174"/>
      <c r="F27" s="179">
        <f>IF($C$13="Domestic",0,IF(AND(Controller!$J$107&gt;0),0,IF(C27="",1,0)))</f>
        <v>1</v>
      </c>
    </row>
    <row r="28" spans="1:6" s="163" customFormat="1" ht="30" customHeight="1">
      <c r="A28" s="162"/>
      <c r="B28" s="346">
        <f>IF(AND(C22="Other",C23&lt;&gt;"",C25&lt;&gt;"",C27&lt;&gt;""),NON_VIABLE,"")</f>
      </c>
      <c r="C28" s="346"/>
      <c r="D28" s="152"/>
      <c r="E28" s="152"/>
      <c r="F28" s="172"/>
    </row>
    <row r="29" spans="1:6" s="163" customFormat="1" ht="36">
      <c r="A29" s="162"/>
      <c r="B29" s="180" t="s">
        <v>568</v>
      </c>
      <c r="C29" s="177"/>
      <c r="D29" s="178">
        <f>IF(C29="",IF($C$13="Domestic","Not Required",IF(AND(Controller!$H$107&gt;0,Controller!$I$107&gt;0),"Not Required","")),"")</f>
      </c>
      <c r="E29" s="152"/>
      <c r="F29" s="172">
        <f>IF($C$13="Domestic",0,IF(AND(Controller!$H$107&gt;0,Controller!$I$107&gt;0),0,IF(C29="",1,0)))</f>
        <v>1</v>
      </c>
    </row>
    <row r="30" spans="1:6" s="163" customFormat="1" ht="30" customHeight="1">
      <c r="A30" s="162"/>
      <c r="B30" s="346">
        <f>IF(C29="Air Conditioning",NON_VIABLE,"")</f>
      </c>
      <c r="C30" s="346"/>
      <c r="D30" s="152"/>
      <c r="E30" s="152"/>
      <c r="F30" s="172"/>
    </row>
    <row r="31" spans="1:6" s="163" customFormat="1" ht="60">
      <c r="A31" s="162"/>
      <c r="B31" s="180" t="s">
        <v>569</v>
      </c>
      <c r="C31" s="183"/>
      <c r="D31" s="178">
        <f>IF(C31="",IF($C$13="Domestic","Not Required",IF(C29="Natural Ventilation","Not Required",IF(AND(Controller!$H$107&gt;0,Controller!$I$107&gt;0),"Not Required",IF(C31="","","Not Required")))),"")</f>
      </c>
      <c r="E31" s="152"/>
      <c r="F31" s="172">
        <f>IF($C$13="Domestic",0,IF(C29="Natural Ventilation",0,IF(AND(Controller!$H$107&gt;0,Controller!$I$107&gt;0),0,IF(C31="",1,0))))</f>
        <v>1</v>
      </c>
    </row>
    <row r="32" spans="1:6" s="163" customFormat="1" ht="60">
      <c r="A32" s="162"/>
      <c r="B32" s="180" t="s">
        <v>570</v>
      </c>
      <c r="C32" s="177"/>
      <c r="D32" s="178">
        <f>IF(C32="",IF($C$13="Domestic","Not Required",IF(C30="Natural Ventilation","Not Required",IF(AND(Controller!$J$107&gt;0),"Not Required",IF(C32="","","Not Required")))),"")</f>
      </c>
      <c r="E32" s="152"/>
      <c r="F32" s="172">
        <f>IF($C$13="Domestic",0,IF(C29="Natural Ventilation",0,IF(AND(Controller!$J$107&gt;0),0,IF(C32="",1,0))))</f>
        <v>1</v>
      </c>
    </row>
    <row r="33" spans="1:6" s="163" customFormat="1" ht="25.5" customHeight="1">
      <c r="A33" s="162"/>
      <c r="B33" s="346">
        <f>IF(AND(C31="Yes",C32&lt;&gt;"",OR(C13="Non-Domestic",C13="Mixed")),NON_VIABLE,"")</f>
      </c>
      <c r="C33" s="346"/>
      <c r="D33" s="152"/>
      <c r="E33" s="152"/>
      <c r="F33" s="172"/>
    </row>
    <row r="34" spans="1:6" s="163" customFormat="1" ht="15.75" customHeight="1">
      <c r="A34" s="162"/>
      <c r="B34" s="152"/>
      <c r="C34" s="152"/>
      <c r="D34" s="152"/>
      <c r="E34" s="152"/>
      <c r="F34" s="172"/>
    </row>
    <row r="35" spans="1:6" s="163" customFormat="1" ht="24.75" customHeight="1">
      <c r="A35" s="166"/>
      <c r="B35" s="184" t="s">
        <v>394</v>
      </c>
      <c r="C35" s="185"/>
      <c r="D35" s="186"/>
      <c r="E35" s="186"/>
      <c r="F35" s="187"/>
    </row>
    <row r="36" spans="1:6" s="163" customFormat="1" ht="12">
      <c r="A36" s="162"/>
      <c r="B36" s="152"/>
      <c r="C36" s="152"/>
      <c r="D36" s="152"/>
      <c r="E36" s="152"/>
      <c r="F36" s="172"/>
    </row>
    <row r="37" spans="1:6" s="163" customFormat="1" ht="12">
      <c r="A37" s="162"/>
      <c r="B37" s="151" t="s">
        <v>206</v>
      </c>
      <c r="C37" s="188"/>
      <c r="D37" s="152"/>
      <c r="E37" s="152"/>
      <c r="F37" s="172"/>
    </row>
    <row r="38" spans="1:6" s="163" customFormat="1" ht="12">
      <c r="A38" s="162"/>
      <c r="B38" s="189" t="s">
        <v>259</v>
      </c>
      <c r="C38" s="189" t="s">
        <v>77</v>
      </c>
      <c r="D38" s="174"/>
      <c r="E38" s="174"/>
      <c r="F38" s="179"/>
    </row>
    <row r="39" spans="1:6" s="163" customFormat="1" ht="12">
      <c r="A39" s="162"/>
      <c r="B39" s="190" t="s">
        <v>584</v>
      </c>
      <c r="C39" s="191"/>
      <c r="D39" s="174">
        <f>IF($C$13="Non-domestic","Not Required",IF(AND(Controller!$H$106&gt;0,Controller!$I$106&gt;0),"Not Required|",IF(AND(($C$43-C39)&gt;0,C39&gt;0),"","")))</f>
      </c>
      <c r="E39" s="174"/>
      <c r="F39" s="179">
        <f>IF($C$13="Non-domestic",0,IF(AND(Controller!$H$106&gt;0,Controller!$I$106&gt;0),0,IF(AND(($C$43-C39)&gt;0,C39&gt;0),1,0)))</f>
        <v>0</v>
      </c>
    </row>
    <row r="40" spans="1:6" s="163" customFormat="1" ht="12">
      <c r="A40" s="162"/>
      <c r="B40" s="190" t="s">
        <v>583</v>
      </c>
      <c r="C40" s="191"/>
      <c r="D40" s="174">
        <f>IF($C$13="Non-domestic","Not Required",IF(AND(Controller!$H$106&gt;0,Controller!$I$106&gt;0),"Not Required|",IF(AND(($C$43-C40)&gt;0,C40&gt;0),"","")))</f>
      </c>
      <c r="E40" s="174"/>
      <c r="F40" s="179">
        <f>IF($C$13="Non-domestic",0,IF(AND(Controller!$H$106&gt;0,Controller!$I$106&gt;0),0,IF(AND(($C$43-C40)&gt;0,C40&gt;0),IF(C41&gt;0,0,1),0)))</f>
        <v>0</v>
      </c>
    </row>
    <row r="41" spans="1:6" s="163" customFormat="1" ht="12">
      <c r="A41" s="162"/>
      <c r="B41" s="190" t="s">
        <v>582</v>
      </c>
      <c r="C41" s="191"/>
      <c r="D41" s="174">
        <f>IF($C$13="Non-domestic","Not Required",IF(AND(Controller!$H$106&gt;0,Controller!$I$106&gt;0),"Not Required|",IF(AND(($C$43-C41)&gt;0,C41&gt;0),"","")))</f>
      </c>
      <c r="E41" s="174"/>
      <c r="F41" s="179">
        <f>IF($C$13="Non-domestic",0,IF(AND(Controller!$H$106&gt;0,Controller!$I$106&gt;0),0,IF(AND(($C$43-(C40+C41))&gt;0,(C40+C41)&gt;0),1,0)))</f>
        <v>0</v>
      </c>
    </row>
    <row r="42" spans="1:6" s="163" customFormat="1" ht="12">
      <c r="A42" s="162"/>
      <c r="B42" s="190" t="s">
        <v>581</v>
      </c>
      <c r="C42" s="191"/>
      <c r="D42" s="174">
        <f>IF($C$13="Non-domestic","Not Required",IF(AND(Controller!$H$106&gt;0,Controller!$I$106&gt;0),"Not Required|",IF(AND(($C$43-C42)&gt;0,C42&gt;0),"","")))</f>
      </c>
      <c r="E42" s="174"/>
      <c r="F42" s="179">
        <f>IF($C$13="Non-domestic",0,IF(AND(Controller!$H$106&gt;0,Controller!$I$106&gt;0),0,IF(AND(($C$43-SUM(C42:C42))&gt;0,SUM(C42:C42)&gt;0),1,0)))</f>
        <v>0</v>
      </c>
    </row>
    <row r="43" spans="1:6" s="163" customFormat="1" ht="12">
      <c r="A43" s="162"/>
      <c r="B43" s="192" t="s">
        <v>140</v>
      </c>
      <c r="C43" s="193">
        <f>SUM(C39:C42)</f>
        <v>0</v>
      </c>
      <c r="D43" s="174">
        <f>IF(AND(F43=0,C43=0),"Not Required","")</f>
      </c>
      <c r="E43" s="174"/>
      <c r="F43" s="194">
        <f>IF($C$13="Non-domestic",0,IF(AND(Controller!$H$106&gt;0,Controller!$I$106&gt;0),0,IF(OR(C43&lt;&gt;C16,C43=0),1,0)))</f>
        <v>1</v>
      </c>
    </row>
    <row r="44" spans="1:6" s="163" customFormat="1" ht="42.75" customHeight="1">
      <c r="A44" s="162"/>
      <c r="B44" s="354" t="str">
        <f>IF(F43=1,"Total number of dwellings does not match total stated in the General Information section. Please correct.",IF(SUM(F39:F42)&gt;0,"Different types of dwellings can not be evaluated at the same time. Please ensure only one or more dwellings of the same type and configuration are entered. For terraced houses, only 2 end of terrace (semi-detached) types can be entered per building.",IF(F43=0,"",)))</f>
        <v>Total number of dwellings does not match total stated in the General Information section. Please correct.</v>
      </c>
      <c r="C44" s="355"/>
      <c r="D44" s="174"/>
      <c r="E44" s="174"/>
      <c r="F44" s="172"/>
    </row>
    <row r="45" spans="1:6" s="163" customFormat="1" ht="12">
      <c r="A45" s="162"/>
      <c r="B45" s="190" t="s">
        <v>273</v>
      </c>
      <c r="C45" s="191"/>
      <c r="D45" s="174" t="str">
        <f>IF(AND(F45=0,C45=0),"Not Required","")</f>
        <v>Not Required</v>
      </c>
      <c r="E45" s="174"/>
      <c r="F45" s="194">
        <f>IF($C$13="Non-domestic",0,IF(AND(Controller!$H$106&gt;0,Controller!$I$106&gt;0),0,IF(SUM(C42:C42)=0,0,IF(C45="",1,0))))</f>
        <v>0</v>
      </c>
    </row>
    <row r="46" spans="1:6" s="163" customFormat="1" ht="36">
      <c r="A46" s="162"/>
      <c r="B46" s="190" t="s">
        <v>571</v>
      </c>
      <c r="C46" s="195"/>
      <c r="D46" s="174">
        <f>IF(OR(AND($C$20&lt;&gt;"",$C$20&lt;&gt;LTHW),$C$13="Non-Domestic"),"Not Required","")</f>
      </c>
      <c r="E46" s="174"/>
      <c r="F46" s="194"/>
    </row>
    <row r="47" spans="1:6" s="163" customFormat="1" ht="12">
      <c r="A47" s="162"/>
      <c r="B47" s="152"/>
      <c r="C47" s="152"/>
      <c r="D47" s="152"/>
      <c r="E47" s="152"/>
      <c r="F47" s="172"/>
    </row>
    <row r="48" spans="1:6" s="163" customFormat="1" ht="12">
      <c r="A48" s="162"/>
      <c r="B48" s="151" t="s">
        <v>146</v>
      </c>
      <c r="C48" s="152"/>
      <c r="D48" s="152"/>
      <c r="E48" s="152"/>
      <c r="F48" s="172"/>
    </row>
    <row r="49" spans="1:6" s="163" customFormat="1" ht="12">
      <c r="A49" s="162"/>
      <c r="B49" s="196" t="s">
        <v>121</v>
      </c>
      <c r="C49" s="191"/>
      <c r="D49" s="174">
        <f>IF(AND(C49="",F49=0),"Not Required","")</f>
      </c>
      <c r="E49" s="174"/>
      <c r="F49" s="194">
        <f>IF($C$13="Non-domestic",0,IF(AND(Controller!$H$106&gt;0,Controller!$I$106&gt;0),0,IF(C49="",1,0)))</f>
        <v>1</v>
      </c>
    </row>
    <row r="50" spans="1:6" s="163" customFormat="1" ht="24">
      <c r="A50" s="162"/>
      <c r="B50" s="196" t="s">
        <v>176</v>
      </c>
      <c r="C50" s="191"/>
      <c r="D50" s="174" t="str">
        <f>IF(AND(C49="Radiators",F50=0),"","Not Required")</f>
        <v>Not Required</v>
      </c>
      <c r="E50" s="174"/>
      <c r="F50" s="172"/>
    </row>
    <row r="51" spans="1:6" s="163" customFormat="1" ht="24">
      <c r="A51" s="162"/>
      <c r="B51" s="196" t="s">
        <v>479</v>
      </c>
      <c r="C51" s="191"/>
      <c r="D51" s="174">
        <f aca="true" t="shared" si="0" ref="D51:D56">IF(AND(C51="",F51=0),"Not Required","")</f>
      </c>
      <c r="E51" s="174"/>
      <c r="F51" s="194">
        <f>IF($C$13="Non-domestic",0,IF(AND(Controller!$H$106&gt;0,Controller!$I$106&gt;0),0,IF(C51="",1,0)))</f>
        <v>1</v>
      </c>
    </row>
    <row r="52" spans="1:6" s="163" customFormat="1" ht="30" customHeight="1">
      <c r="A52" s="162"/>
      <c r="B52" s="346">
        <f>IF(AND(C49&lt;&gt;"Radiators",C51&lt;&gt;SP_ENTRY,C49&lt;&gt;"",C51&lt;&gt;""),NON_VIABLE,"")</f>
      </c>
      <c r="C52" s="346"/>
      <c r="D52" s="152"/>
      <c r="E52" s="152"/>
      <c r="F52" s="172"/>
    </row>
    <row r="53" spans="1:6" s="163" customFormat="1" ht="36">
      <c r="A53" s="162"/>
      <c r="B53" s="196" t="s">
        <v>481</v>
      </c>
      <c r="C53" s="191"/>
      <c r="D53" s="174">
        <f t="shared" si="0"/>
      </c>
      <c r="E53" s="174"/>
      <c r="F53" s="194">
        <f>IF($C$13="Non-domestic",0,IF(AND(Controller!$H$106&gt;0,Controller!$I$106&gt;0),0,IF(C53="",1,0)))</f>
        <v>1</v>
      </c>
    </row>
    <row r="54" spans="1:6" s="163" customFormat="1" ht="36">
      <c r="A54" s="162"/>
      <c r="B54" s="196" t="s">
        <v>483</v>
      </c>
      <c r="C54" s="191"/>
      <c r="D54" s="174">
        <f t="shared" si="0"/>
      </c>
      <c r="E54" s="174"/>
      <c r="F54" s="194">
        <f>IF($C$13="Non-domestic",0,IF(AND(Controller!$H$106&gt;0,Controller!$I$106&gt;0),0,IF(C54="",1,0)))</f>
        <v>1</v>
      </c>
    </row>
    <row r="55" spans="1:6" s="163" customFormat="1" ht="60">
      <c r="A55" s="162"/>
      <c r="B55" s="196" t="s">
        <v>484</v>
      </c>
      <c r="C55" s="191"/>
      <c r="D55" s="174">
        <f t="shared" si="0"/>
      </c>
      <c r="E55" s="174"/>
      <c r="F55" s="194">
        <f>IF($C$13="Non-domestic",0,IF(AND(Controller!$H$106&gt;0,Controller!$I$106&gt;0),0,IF(C55="",1,0)))</f>
        <v>1</v>
      </c>
    </row>
    <row r="56" spans="1:6" s="163" customFormat="1" ht="12">
      <c r="A56" s="162"/>
      <c r="B56" s="196" t="s">
        <v>408</v>
      </c>
      <c r="C56" s="191"/>
      <c r="D56" s="174">
        <f t="shared" si="0"/>
      </c>
      <c r="E56" s="174"/>
      <c r="F56" s="194">
        <f>IF($C$13="Non-domestic",0,IF(AND(Controller!$H$106&gt;0,Controller!$I$106&gt;0),0,IF(C56="",1,0)))</f>
        <v>1</v>
      </c>
    </row>
    <row r="57" spans="1:6" s="163" customFormat="1" ht="12">
      <c r="A57" s="162"/>
      <c r="B57" s="152"/>
      <c r="C57" s="152"/>
      <c r="D57" s="152"/>
      <c r="E57" s="152"/>
      <c r="F57" s="172"/>
    </row>
    <row r="58" spans="1:6" s="163" customFormat="1" ht="12">
      <c r="A58" s="162"/>
      <c r="B58" s="151" t="s">
        <v>178</v>
      </c>
      <c r="C58" s="152"/>
      <c r="D58" s="152"/>
      <c r="E58" s="152"/>
      <c r="F58" s="172"/>
    </row>
    <row r="59" spans="1:6" s="163" customFormat="1" ht="48">
      <c r="A59" s="162"/>
      <c r="B59" s="196" t="s">
        <v>334</v>
      </c>
      <c r="C59" s="191"/>
      <c r="D59" s="174">
        <f>IF(AND(C59="",F59=0),"Not Required","")</f>
      </c>
      <c r="E59" s="174"/>
      <c r="F59" s="194">
        <f>IF($C$13="Non-domestic",0,IF(AND(Controller!$H$106&gt;0,Controller!$I$106&gt;0),0,IF(C59="",1,0)))</f>
        <v>1</v>
      </c>
    </row>
    <row r="60" spans="1:6" s="163" customFormat="1" ht="48">
      <c r="A60" s="162"/>
      <c r="B60" s="196" t="s">
        <v>147</v>
      </c>
      <c r="C60" s="191"/>
      <c r="D60" s="174">
        <f>IF(AND(C60="",F60=0),"Not Required","")</f>
      </c>
      <c r="E60" s="174"/>
      <c r="F60" s="194">
        <f>IF($C$13="Non-domestic",0,IF(AND(Controller!$H$106&gt;0,Controller!$I$106&gt;0),0,IF(C60="",1,0)))</f>
        <v>1</v>
      </c>
    </row>
    <row r="61" spans="1:6" s="163" customFormat="1" ht="36">
      <c r="A61" s="162"/>
      <c r="B61" s="196" t="s">
        <v>177</v>
      </c>
      <c r="C61" s="191"/>
      <c r="D61" s="174">
        <f>IF(AND(C61="",F61=0),"Not Required","")</f>
      </c>
      <c r="E61" s="174"/>
      <c r="F61" s="194">
        <f>IF($C$13="Non-domestic",0,IF(AND(Controller!$H$106&gt;0,Controller!$I$106&gt;0),0,IF(C61="",1,0)))</f>
        <v>1</v>
      </c>
    </row>
    <row r="62" spans="1:6" s="163" customFormat="1" ht="48">
      <c r="A62" s="162"/>
      <c r="B62" s="196" t="s">
        <v>553</v>
      </c>
      <c r="C62" s="191"/>
      <c r="D62" s="174">
        <f>IF(AND(C62="",F62=0),"Not Required","")</f>
      </c>
      <c r="E62" s="174"/>
      <c r="F62" s="194">
        <f>IF($C$13="Non-domestic",0,IF(AND(Controller!$H$106&gt;0,Controller!$I$106&gt;0),0,IF(C62="",1,0)))</f>
        <v>1</v>
      </c>
    </row>
    <row r="63" spans="1:6" s="163" customFormat="1" ht="12">
      <c r="A63" s="162"/>
      <c r="B63" s="152"/>
      <c r="C63" s="197"/>
      <c r="D63" s="152"/>
      <c r="E63" s="152"/>
      <c r="F63" s="172"/>
    </row>
    <row r="64" spans="1:6" s="163" customFormat="1" ht="12">
      <c r="A64" s="162"/>
      <c r="B64" s="152"/>
      <c r="C64" s="152"/>
      <c r="D64" s="152"/>
      <c r="E64" s="152"/>
      <c r="F64" s="172"/>
    </row>
    <row r="65" spans="1:6" s="163" customFormat="1" ht="36" customHeight="1">
      <c r="A65" s="166"/>
      <c r="B65" s="345" t="s">
        <v>258</v>
      </c>
      <c r="C65" s="345"/>
      <c r="D65" s="186"/>
      <c r="E65" s="186"/>
      <c r="F65" s="187"/>
    </row>
    <row r="66" spans="1:6" s="163" customFormat="1" ht="37.5">
      <c r="A66" s="162"/>
      <c r="B66" s="198" t="s">
        <v>256</v>
      </c>
      <c r="C66" s="198" t="s">
        <v>574</v>
      </c>
      <c r="D66" s="198" t="s">
        <v>575</v>
      </c>
      <c r="E66" s="152"/>
      <c r="F66" s="172"/>
    </row>
    <row r="67" spans="1:6" s="163" customFormat="1" ht="24">
      <c r="A67" s="162"/>
      <c r="B67" s="180" t="s">
        <v>447</v>
      </c>
      <c r="C67" s="177"/>
      <c r="D67" s="220"/>
      <c r="E67" s="174">
        <f aca="true" t="shared" si="1" ref="E67:E88">IF(AND(D67="",F67=0,$C$89=$C$15),"Not Required","")</f>
      </c>
      <c r="F67" s="172">
        <f>IF($C$13="Domestic",0,IF(AND(Controller!$H$107&gt;0,Controller!$I$107&gt;0),0,IF(OR(AND(VALUE(C67)=0,D67&gt;0),AND(C67&gt;0,VALUE(D67)=0),$C$15=""),1,0)))</f>
        <v>1</v>
      </c>
    </row>
    <row r="68" spans="1:6" s="163" customFormat="1" ht="12">
      <c r="A68" s="162"/>
      <c r="B68" s="180" t="s">
        <v>7</v>
      </c>
      <c r="C68" s="177"/>
      <c r="D68" s="220"/>
      <c r="E68" s="174">
        <f t="shared" si="1"/>
      </c>
      <c r="F68" s="172">
        <f>IF($C$13="Domestic",0,IF(AND(Controller!$H$107&gt;0,Controller!$I$107&gt;0),0,IF(OR(AND(VALUE(C68)=0,D68&gt;0),AND(C68&gt;0,VALUE(D68)=0),$C$15=""),1,0)))</f>
        <v>1</v>
      </c>
    </row>
    <row r="69" spans="1:6" s="163" customFormat="1" ht="12">
      <c r="A69" s="162"/>
      <c r="B69" s="180" t="s">
        <v>8</v>
      </c>
      <c r="C69" s="177"/>
      <c r="D69" s="220"/>
      <c r="E69" s="174">
        <f t="shared" si="1"/>
      </c>
      <c r="F69" s="172">
        <f>IF($C$13="Domestic",0,IF(AND(Controller!$H$107&gt;0,Controller!$I$107&gt;0),0,IF(OR(AND(VALUE(C69)=0,D69&gt;0),AND(C69&gt;0,VALUE(D69)=0),$C$15=""),1,0)))</f>
        <v>1</v>
      </c>
    </row>
    <row r="70" spans="1:6" s="163" customFormat="1" ht="12">
      <c r="A70" s="162"/>
      <c r="B70" s="180" t="s">
        <v>9</v>
      </c>
      <c r="C70" s="177"/>
      <c r="D70" s="220"/>
      <c r="E70" s="174">
        <f t="shared" si="1"/>
      </c>
      <c r="F70" s="172">
        <f>IF($C$13="Domestic",0,IF(AND(Controller!$H$107&gt;0,Controller!$I$107&gt;0),0,IF(OR(AND(VALUE(C70)=0,D70&gt;0),AND(C70&gt;0,VALUE(D70)=0),$C$15=""),1,0)))</f>
        <v>1</v>
      </c>
    </row>
    <row r="71" spans="1:6" s="163" customFormat="1" ht="12">
      <c r="A71" s="162"/>
      <c r="B71" s="180" t="s">
        <v>10</v>
      </c>
      <c r="C71" s="177"/>
      <c r="D71" s="220"/>
      <c r="E71" s="174">
        <f t="shared" si="1"/>
      </c>
      <c r="F71" s="172">
        <f>IF($C$13="Domestic",0,IF(AND(Controller!$H$107&gt;0,Controller!$I$107&gt;0),0,IF(OR(AND(VALUE(C71)=0,D71&gt;0),AND(C71&gt;0,VALUE(D71)=0),$C$15=""),1,0)))</f>
        <v>1</v>
      </c>
    </row>
    <row r="72" spans="1:6" s="163" customFormat="1" ht="24">
      <c r="A72" s="162"/>
      <c r="B72" s="180" t="s">
        <v>448</v>
      </c>
      <c r="C72" s="177"/>
      <c r="D72" s="220"/>
      <c r="E72" s="174">
        <f t="shared" si="1"/>
      </c>
      <c r="F72" s="172">
        <f>IF($C$13="Domestic",0,IF(AND(Controller!$H$107&gt;0,Controller!$I$107&gt;0),0,IF(OR(AND(VALUE(C72)=0,D72&gt;0),AND(C72&gt;0,VALUE(D72)=0),$C$15=""),1,0)))</f>
        <v>1</v>
      </c>
    </row>
    <row r="73" spans="1:6" s="163" customFormat="1" ht="12">
      <c r="A73" s="162"/>
      <c r="B73" s="180" t="s">
        <v>12</v>
      </c>
      <c r="C73" s="177"/>
      <c r="D73" s="220"/>
      <c r="E73" s="174">
        <f t="shared" si="1"/>
      </c>
      <c r="F73" s="172">
        <f>IF($C$13="Domestic",0,IF(AND(Controller!$H$107&gt;0,Controller!$I$107&gt;0),0,IF(OR(AND(VALUE(C73)=0,D73&gt;0),AND(C73&gt;0,VALUE(D73)=0),$C$15=""),1,0)))</f>
        <v>1</v>
      </c>
    </row>
    <row r="74" spans="1:6" s="163" customFormat="1" ht="12">
      <c r="A74" s="162"/>
      <c r="B74" s="180" t="s">
        <v>13</v>
      </c>
      <c r="C74" s="177"/>
      <c r="D74" s="220"/>
      <c r="E74" s="174">
        <f t="shared" si="1"/>
      </c>
      <c r="F74" s="172">
        <f>IF($C$13="Domestic",0,IF(AND(Controller!$H$107&gt;0,Controller!$I$107&gt;0),0,IF(OR(AND(VALUE(C74)=0,D74&gt;0),AND(C74&gt;0,VALUE(D74)=0),$C$15=""),1,0)))</f>
        <v>1</v>
      </c>
    </row>
    <row r="75" spans="1:6" s="163" customFormat="1" ht="12">
      <c r="A75" s="162"/>
      <c r="B75" s="180" t="s">
        <v>14</v>
      </c>
      <c r="C75" s="177"/>
      <c r="D75" s="220"/>
      <c r="E75" s="174">
        <f t="shared" si="1"/>
      </c>
      <c r="F75" s="172">
        <f>IF($C$13="Domestic",0,IF(AND(Controller!$H$107&gt;0,Controller!$I$107&gt;0),0,IF(OR(AND(VALUE(C75)=0,D75&gt;0),AND(C75&gt;0,VALUE(D75)=0),$C$15=""),1,0)))</f>
        <v>1</v>
      </c>
    </row>
    <row r="76" spans="1:6" s="163" customFormat="1" ht="24">
      <c r="A76" s="162"/>
      <c r="B76" s="199" t="s">
        <v>449</v>
      </c>
      <c r="C76" s="177"/>
      <c r="D76" s="220"/>
      <c r="E76" s="174">
        <f t="shared" si="1"/>
      </c>
      <c r="F76" s="172">
        <f>IF($C$13="Domestic",0,IF(AND(Controller!$H$107&gt;0,Controller!$I$107&gt;0),0,IF(OR(AND(VALUE(C76)=0,D76&gt;0),AND(C76&gt;0,VALUE(D76)=0),$C$15=""),1,0)))</f>
        <v>1</v>
      </c>
    </row>
    <row r="77" spans="1:6" s="163" customFormat="1" ht="36">
      <c r="A77" s="162"/>
      <c r="B77" s="180" t="s">
        <v>450</v>
      </c>
      <c r="C77" s="177"/>
      <c r="D77" s="220"/>
      <c r="E77" s="174">
        <f t="shared" si="1"/>
      </c>
      <c r="F77" s="172">
        <f>IF($C$13="Domestic",0,IF(AND(Controller!$H$107&gt;0,Controller!$I$107&gt;0),0,IF(OR(AND(VALUE(C77)=0,D77&gt;0),AND(C77&gt;0,VALUE(D77)=0),$C$15=""),1,0)))</f>
        <v>1</v>
      </c>
    </row>
    <row r="78" spans="1:6" s="163" customFormat="1" ht="12">
      <c r="A78" s="162"/>
      <c r="B78" s="180" t="s">
        <v>16</v>
      </c>
      <c r="C78" s="177"/>
      <c r="D78" s="220"/>
      <c r="E78" s="174">
        <f t="shared" si="1"/>
      </c>
      <c r="F78" s="172">
        <f>IF($C$13="Domestic",0,IF(AND(Controller!$H$107&gt;0,Controller!$I$107&gt;0),0,IF(OR(AND(VALUE(C78)=0,D78&gt;0),AND(C78&gt;0,VALUE(D78)=0),$C$15=""),1,0)))</f>
        <v>1</v>
      </c>
    </row>
    <row r="79" spans="1:6" s="163" customFormat="1" ht="12">
      <c r="A79" s="162"/>
      <c r="B79" s="180" t="s">
        <v>17</v>
      </c>
      <c r="C79" s="177"/>
      <c r="D79" s="220"/>
      <c r="E79" s="174">
        <f t="shared" si="1"/>
      </c>
      <c r="F79" s="172">
        <f>IF($C$13="Domestic",0,IF(AND(Controller!$H$107&gt;0,Controller!$I$107&gt;0),0,IF(OR(AND(VALUE(C79)=0,D79&gt;0),AND(C79&gt;0,VALUE(D79)=0),$C$15=""),1,0)))</f>
        <v>1</v>
      </c>
    </row>
    <row r="80" spans="1:6" s="163" customFormat="1" ht="12">
      <c r="A80" s="162"/>
      <c r="B80" s="180" t="s">
        <v>18</v>
      </c>
      <c r="C80" s="177"/>
      <c r="D80" s="220"/>
      <c r="E80" s="174">
        <f t="shared" si="1"/>
      </c>
      <c r="F80" s="172">
        <f>IF($C$13="Domestic",0,IF(AND(Controller!$H$107&gt;0,Controller!$I$107&gt;0),0,IF(OR(AND(VALUE(C80)=0,D80&gt;0),AND(C80&gt;0,VALUE(D80)=0),$C$15=""),1,0)))</f>
        <v>1</v>
      </c>
    </row>
    <row r="81" spans="1:6" s="163" customFormat="1" ht="24">
      <c r="A81" s="162"/>
      <c r="B81" s="180" t="s">
        <v>21</v>
      </c>
      <c r="C81" s="177"/>
      <c r="D81" s="220"/>
      <c r="E81" s="174">
        <f t="shared" si="1"/>
      </c>
      <c r="F81" s="172">
        <f>IF($C$13="Domestic",0,IF(AND(Controller!$H$107&gt;0,Controller!$I$107&gt;0),0,IF(OR(AND(VALUE(C81)=0,D81&gt;0),AND(C81&gt;0,VALUE(D81)=0),$C$15=""),1,0)))</f>
        <v>1</v>
      </c>
    </row>
    <row r="82" spans="1:6" s="163" customFormat="1" ht="12">
      <c r="A82" s="162"/>
      <c r="B82" s="180" t="s">
        <v>22</v>
      </c>
      <c r="C82" s="177"/>
      <c r="D82" s="220"/>
      <c r="E82" s="174">
        <f t="shared" si="1"/>
      </c>
      <c r="F82" s="172">
        <f>IF($C$13="Domestic",0,IF(AND(Controller!$H$107&gt;0,Controller!$I$107&gt;0),0,IF(OR(AND(VALUE(C82)=0,D82&gt;0),AND(C82&gt;0,VALUE(D82)=0),$C$15=""),1,0)))</f>
        <v>1</v>
      </c>
    </row>
    <row r="83" spans="1:6" s="163" customFormat="1" ht="12">
      <c r="A83" s="162"/>
      <c r="B83" s="180" t="s">
        <v>26</v>
      </c>
      <c r="C83" s="177"/>
      <c r="D83" s="220"/>
      <c r="E83" s="174">
        <f t="shared" si="1"/>
      </c>
      <c r="F83" s="172">
        <f>IF($C$13="Domestic",0,IF(AND(Controller!$H$107&gt;0,Controller!$I$107&gt;0),0,IF(OR(AND(VALUE(C83)=0,D83&gt;0),AND(C83&gt;0,VALUE(D83)=0),$C$15=""),1,0)))</f>
        <v>1</v>
      </c>
    </row>
    <row r="84" spans="1:6" s="163" customFormat="1" ht="12">
      <c r="A84" s="162"/>
      <c r="B84" s="180" t="s">
        <v>27</v>
      </c>
      <c r="C84" s="177"/>
      <c r="D84" s="220"/>
      <c r="E84" s="174">
        <f t="shared" si="1"/>
      </c>
      <c r="F84" s="172">
        <f>IF($C$13="Domestic",0,IF(AND(Controller!$H$107&gt;0,Controller!$I$107&gt;0),0,IF(OR(AND(VALUE(C84)=0,D84&gt;0),AND(C84&gt;0,VALUE(D84)=0),$C$15=""),1,0)))</f>
        <v>1</v>
      </c>
    </row>
    <row r="85" spans="1:6" s="163" customFormat="1" ht="12">
      <c r="A85" s="162"/>
      <c r="B85" s="199" t="s">
        <v>28</v>
      </c>
      <c r="C85" s="177"/>
      <c r="D85" s="220"/>
      <c r="E85" s="174">
        <f t="shared" si="1"/>
      </c>
      <c r="F85" s="172">
        <f>IF($C$13="Domestic",0,IF(AND(Controller!$H$107&gt;0,Controller!$I$107&gt;0),0,IF(OR(AND(VALUE(C85)=0,D85&gt;0),AND(C85&gt;0,VALUE(D85)=0),$C$15=""),1,0)))</f>
        <v>1</v>
      </c>
    </row>
    <row r="86" spans="1:6" s="163" customFormat="1" ht="12">
      <c r="A86" s="162"/>
      <c r="B86" s="180" t="s">
        <v>31</v>
      </c>
      <c r="C86" s="177"/>
      <c r="D86" s="220"/>
      <c r="E86" s="174">
        <f t="shared" si="1"/>
      </c>
      <c r="F86" s="172">
        <f>IF($C$13="Domestic",0,IF(AND(Controller!$H$107&gt;0,Controller!$I$107&gt;0),0,IF(OR(AND(VALUE(C86)=0,D86&gt;0),AND(C86&gt;0,VALUE(D86)=0),$C$15=""),1,0)))</f>
        <v>1</v>
      </c>
    </row>
    <row r="87" spans="1:6" s="163" customFormat="1" ht="12">
      <c r="A87" s="162"/>
      <c r="B87" s="180" t="s">
        <v>32</v>
      </c>
      <c r="C87" s="177"/>
      <c r="D87" s="220"/>
      <c r="E87" s="174">
        <f t="shared" si="1"/>
      </c>
      <c r="F87" s="172">
        <f>IF($C$13="Domestic",0,IF(AND(Controller!$H$107&gt;0,Controller!$I$107&gt;0),0,IF(OR(AND(VALUE(C87)=0,D87&gt;0),AND(C87&gt;0,VALUE(D87)=0),$C$15=""),1,0)))</f>
        <v>1</v>
      </c>
    </row>
    <row r="88" spans="1:6" s="163" customFormat="1" ht="12">
      <c r="A88" s="162"/>
      <c r="B88" s="180" t="s">
        <v>33</v>
      </c>
      <c r="C88" s="177"/>
      <c r="D88" s="220"/>
      <c r="E88" s="174">
        <f t="shared" si="1"/>
      </c>
      <c r="F88" s="172">
        <f>IF($C$13="Domestic",0,IF(AND(Controller!$H$107&gt;0,Controller!$I$107&gt;0),0,IF(OR(AND(VALUE(C88)=0,D88&gt;0),AND(C88&gt;0,VALUE(D88)=0),$C$15=""),1,0)))</f>
        <v>1</v>
      </c>
    </row>
    <row r="89" spans="1:6" s="163" customFormat="1" ht="12">
      <c r="A89" s="162"/>
      <c r="B89" s="200" t="s">
        <v>140</v>
      </c>
      <c r="C89" s="201">
        <f>SUM(C67:C88)</f>
        <v>0</v>
      </c>
      <c r="D89" s="221">
        <f>SUM(D67:D88)</f>
        <v>0</v>
      </c>
      <c r="E89" s="174"/>
      <c r="F89" s="172">
        <f>IF($C$13="Domestic",0,IF(AND(Controller!$H$107&gt;0,Controller!$I$107&gt;0),0,IF(OR(C89&lt;&gt;C15,C89=0),1,0)))</f>
        <v>1</v>
      </c>
    </row>
    <row r="90" spans="1:6" s="163" customFormat="1" ht="42.75" customHeight="1">
      <c r="A90" s="162"/>
      <c r="B90" s="347" t="str">
        <f>IF(F89=1,"Total number of units does not match total stated in the General Information section. Please correct.",IF(SUM(F67:F88)&gt;0,"There are missing data for either units or areas.",""))</f>
        <v>Total number of units does not match total stated in the General Information section. Please correct.</v>
      </c>
      <c r="C90" s="348"/>
      <c r="D90" s="152"/>
      <c r="E90" s="152"/>
      <c r="F90" s="172"/>
    </row>
    <row r="91" spans="1:6" s="163" customFormat="1" ht="24">
      <c r="A91" s="162"/>
      <c r="B91" s="180" t="s">
        <v>363</v>
      </c>
      <c r="C91" s="177"/>
      <c r="D91" s="174">
        <f>IF(AND(C91="",F91=0),"Not Required","")</f>
      </c>
      <c r="E91" s="152"/>
      <c r="F91" s="172">
        <f>IF($C$13="Domestic",0,IF(AND(Controller!$H$107&gt;0,Controller!$I$107&gt;0),0,IF(C91="",1,0)))</f>
        <v>1</v>
      </c>
    </row>
    <row r="92" spans="1:6" s="163" customFormat="1" ht="36">
      <c r="A92" s="162"/>
      <c r="B92" s="180" t="s">
        <v>571</v>
      </c>
      <c r="C92" s="191"/>
      <c r="D92" s="174">
        <f>D91</f>
      </c>
      <c r="E92" s="174"/>
      <c r="F92" s="194"/>
    </row>
    <row r="93" spans="1:6" s="163" customFormat="1" ht="12">
      <c r="A93" s="162"/>
      <c r="B93" s="152"/>
      <c r="C93" s="152"/>
      <c r="D93" s="152"/>
      <c r="E93" s="152"/>
      <c r="F93" s="172"/>
    </row>
    <row r="94" spans="1:6" s="163" customFormat="1" ht="12">
      <c r="A94" s="162"/>
      <c r="B94" s="151" t="s">
        <v>146</v>
      </c>
      <c r="C94" s="152"/>
      <c r="D94" s="152"/>
      <c r="E94" s="152"/>
      <c r="F94" s="172"/>
    </row>
    <row r="95" spans="1:6" s="163" customFormat="1" ht="16.5" customHeight="1">
      <c r="A95" s="162"/>
      <c r="B95" s="349" t="s">
        <v>383</v>
      </c>
      <c r="C95" s="349"/>
      <c r="D95" s="152"/>
      <c r="E95" s="152"/>
      <c r="F95" s="172"/>
    </row>
    <row r="96" spans="1:6" s="163" customFormat="1" ht="12">
      <c r="A96" s="162"/>
      <c r="B96" s="180" t="s">
        <v>121</v>
      </c>
      <c r="C96" s="177"/>
      <c r="D96" s="174">
        <f>IF(AND(C96="",F96=0),"Not Required","")</f>
      </c>
      <c r="E96" s="152"/>
      <c r="F96" s="172">
        <f>IF($C$13="Domestic",0,IF(AND(Controller!$H$107&gt;0,Controller!$I$107&gt;0),0,IF(C96="",1,0)))</f>
        <v>1</v>
      </c>
    </row>
    <row r="97" spans="1:6" s="163" customFormat="1" ht="24">
      <c r="A97" s="162"/>
      <c r="B97" s="180" t="s">
        <v>366</v>
      </c>
      <c r="C97" s="177"/>
      <c r="D97" s="174" t="str">
        <f>IF(AND($C$13&lt;&gt;"Domestic",C96="Radiators"),"","Not Required")</f>
        <v>Not Required</v>
      </c>
      <c r="E97" s="197"/>
      <c r="F97" s="172">
        <f>IF($C$13="Domestic",0,IF(AND(Controller!$H$107&gt;0,Controller!$I$107&gt;0),0,IF(AND(C96="Radiators",C97=""),1,0)))</f>
        <v>0</v>
      </c>
    </row>
    <row r="98" spans="1:6" s="163" customFormat="1" ht="36">
      <c r="A98" s="162"/>
      <c r="B98" s="180" t="s">
        <v>480</v>
      </c>
      <c r="C98" s="177"/>
      <c r="D98" s="174">
        <f aca="true" t="shared" si="2" ref="D98:D103">IF(AND(C98="",F98=0),"Not Required","")</f>
      </c>
      <c r="E98" s="152"/>
      <c r="F98" s="172">
        <f>IF($C$13="Domestic",0,IF(AND(Controller!$H$107&gt;0,Controller!$I$107&gt;0),0,IF(C98="",1,0)))</f>
        <v>1</v>
      </c>
    </row>
    <row r="99" spans="1:6" s="163" customFormat="1" ht="36">
      <c r="A99" s="162"/>
      <c r="B99" s="180" t="s">
        <v>482</v>
      </c>
      <c r="C99" s="177"/>
      <c r="D99" s="174">
        <f t="shared" si="2"/>
      </c>
      <c r="E99" s="152"/>
      <c r="F99" s="172">
        <f>IF($C$13="Domestic",0,IF(AND(Controller!$H$107&gt;0,Controller!$I$107&gt;0),0,IF(C99="",1,0)))</f>
        <v>1</v>
      </c>
    </row>
    <row r="100" spans="1:6" s="163" customFormat="1" ht="36">
      <c r="A100" s="162"/>
      <c r="B100" s="180" t="s">
        <v>485</v>
      </c>
      <c r="C100" s="177"/>
      <c r="D100" s="174">
        <f t="shared" si="2"/>
      </c>
      <c r="E100" s="152"/>
      <c r="F100" s="172">
        <f>IF($C$13="Domestic",0,IF(AND(Controller!$H$107&gt;0,Controller!$I$107&gt;0),0,IF(C99="Landlord's space",0,IF(C100="",1,0))))</f>
        <v>1</v>
      </c>
    </row>
    <row r="101" spans="1:6" s="163" customFormat="1" ht="36">
      <c r="A101" s="162"/>
      <c r="B101" s="180" t="s">
        <v>483</v>
      </c>
      <c r="C101" s="191"/>
      <c r="D101" s="174">
        <f t="shared" si="2"/>
      </c>
      <c r="E101" s="174"/>
      <c r="F101" s="172">
        <f>IF($C$13="Domestic",0,IF(AND(Controller!$H$107&gt;0,Controller!$I$107&gt;0),0,IF(C101="",1,0)))</f>
        <v>1</v>
      </c>
    </row>
    <row r="102" spans="1:6" s="163" customFormat="1" ht="60">
      <c r="A102" s="162"/>
      <c r="B102" s="180" t="s">
        <v>484</v>
      </c>
      <c r="C102" s="191"/>
      <c r="D102" s="174">
        <f t="shared" si="2"/>
      </c>
      <c r="E102" s="174"/>
      <c r="F102" s="172">
        <f>IF($C$13="Domestic",0,IF(AND(Controller!$H$107&gt;0,Controller!$I$107&gt;0),0,IF(C102="",1,0)))</f>
        <v>1</v>
      </c>
    </row>
    <row r="103" spans="1:6" s="163" customFormat="1" ht="12">
      <c r="A103" s="162"/>
      <c r="B103" s="180" t="s">
        <v>408</v>
      </c>
      <c r="C103" s="191"/>
      <c r="D103" s="174">
        <f t="shared" si="2"/>
      </c>
      <c r="E103" s="174"/>
      <c r="F103" s="172">
        <f>IF($C$13="Domestic",0,IF(AND(Controller!$H$107&gt;0,Controller!$I$107&gt;0),0,IF(C103="",1,0)))</f>
        <v>1</v>
      </c>
    </row>
    <row r="104" spans="1:6" s="163" customFormat="1" ht="12">
      <c r="A104" s="162"/>
      <c r="B104" s="152"/>
      <c r="C104" s="152"/>
      <c r="D104" s="152"/>
      <c r="E104" s="152"/>
      <c r="F104" s="172"/>
    </row>
    <row r="105" spans="1:6" s="163" customFormat="1" ht="12">
      <c r="A105" s="162"/>
      <c r="B105" s="151" t="s">
        <v>178</v>
      </c>
      <c r="C105" s="152"/>
      <c r="D105" s="152"/>
      <c r="E105" s="152"/>
      <c r="F105" s="172"/>
    </row>
    <row r="106" spans="1:6" s="163" customFormat="1" ht="48">
      <c r="A106" s="162"/>
      <c r="B106" s="180" t="s">
        <v>334</v>
      </c>
      <c r="C106" s="177"/>
      <c r="D106" s="174">
        <f>IF(AND(C106="",F106=0),"Not Required","")</f>
      </c>
      <c r="E106" s="202"/>
      <c r="F106" s="172">
        <f>IF($C$13="Domestic",0,IF(AND(Controller!$H$107&gt;0,Controller!$I$107&gt;0),0,IF(C106="",1,0)))</f>
        <v>1</v>
      </c>
    </row>
    <row r="107" spans="1:6" s="163" customFormat="1" ht="48">
      <c r="A107" s="162"/>
      <c r="B107" s="180" t="s">
        <v>147</v>
      </c>
      <c r="C107" s="177"/>
      <c r="D107" s="174">
        <f>IF(AND(C107="",F107=0),"Not Required","")</f>
      </c>
      <c r="E107" s="152"/>
      <c r="F107" s="172">
        <f>IF($C$13="Domestic",0,IF(AND(Controller!$H$107&gt;0,Controller!$I$107&gt;0),0,IF(C107="",1,0)))</f>
        <v>1</v>
      </c>
    </row>
    <row r="108" spans="1:6" s="163" customFormat="1" ht="48">
      <c r="A108" s="162"/>
      <c r="B108" s="180" t="s">
        <v>192</v>
      </c>
      <c r="C108" s="177"/>
      <c r="D108" s="174">
        <f>IF(AND(C108="",F108=0),"Not Required","")</f>
      </c>
      <c r="E108" s="152"/>
      <c r="F108" s="172">
        <f>IF($C$13="Domestic",0,IF(AND(Controller!$H$107&gt;0,Controller!$I$107&gt;0),0,IF(C108="",1,0)))</f>
        <v>1</v>
      </c>
    </row>
    <row r="109" spans="1:6" s="163" customFormat="1" ht="48">
      <c r="A109" s="162"/>
      <c r="B109" s="180" t="s">
        <v>553</v>
      </c>
      <c r="C109" s="177"/>
      <c r="D109" s="174">
        <f>IF(AND(C109="",F109=0),"Not Required","")</f>
      </c>
      <c r="E109" s="152"/>
      <c r="F109" s="172">
        <f>IF($C$13="Domestic",0,IF(AND(Controller!$H$107&gt;0,Controller!$I$107&gt;0),0,IF(C109="",1,0)))</f>
        <v>1</v>
      </c>
    </row>
    <row r="110" spans="1:6" s="163" customFormat="1" ht="12">
      <c r="A110" s="162"/>
      <c r="B110" s="152"/>
      <c r="C110" s="152"/>
      <c r="D110" s="152"/>
      <c r="E110" s="152"/>
      <c r="F110" s="172"/>
    </row>
    <row r="111" spans="1:7" s="163" customFormat="1" ht="12">
      <c r="A111" s="162"/>
      <c r="B111" s="152"/>
      <c r="C111" s="152"/>
      <c r="D111" s="175"/>
      <c r="E111" s="175"/>
      <c r="F111" s="203"/>
      <c r="G111" s="204"/>
    </row>
    <row r="112" spans="1:6" s="163" customFormat="1" ht="12">
      <c r="A112" s="162"/>
      <c r="B112" s="205" t="s">
        <v>353</v>
      </c>
      <c r="C112" s="152"/>
      <c r="D112" s="206"/>
      <c r="E112" s="206"/>
      <c r="F112" s="172"/>
    </row>
    <row r="113" spans="1:6" s="163" customFormat="1" ht="12">
      <c r="A113" s="162"/>
      <c r="B113" s="205" t="s">
        <v>270</v>
      </c>
      <c r="C113" s="152"/>
      <c r="D113" s="206"/>
      <c r="E113" s="206"/>
      <c r="F113" s="172"/>
    </row>
    <row r="114" spans="1:6" s="163" customFormat="1" ht="12.75">
      <c r="A114" s="162"/>
      <c r="B114" s="231" t="s">
        <v>271</v>
      </c>
      <c r="C114" s="152"/>
      <c r="D114" s="206"/>
      <c r="E114" s="206"/>
      <c r="F114" s="172"/>
    </row>
    <row r="115" spans="1:6" s="163" customFormat="1" ht="12.75" thickBot="1">
      <c r="A115" s="207"/>
      <c r="B115" s="208"/>
      <c r="C115" s="208"/>
      <c r="D115" s="209"/>
      <c r="E115" s="209"/>
      <c r="F115" s="210"/>
    </row>
    <row r="116" spans="2:6" s="163" customFormat="1" ht="12">
      <c r="B116" s="211"/>
      <c r="C116" s="211"/>
      <c r="D116" s="211"/>
      <c r="E116" s="211"/>
      <c r="F116" s="211"/>
    </row>
    <row r="117" spans="2:6" s="163" customFormat="1" ht="12">
      <c r="B117" s="211"/>
      <c r="C117" s="211"/>
      <c r="D117" s="211"/>
      <c r="E117" s="211"/>
      <c r="F117" s="211"/>
    </row>
    <row r="118" spans="2:6" s="163" customFormat="1" ht="12">
      <c r="B118" s="211"/>
      <c r="C118" s="211"/>
      <c r="D118" s="211"/>
      <c r="E118" s="211"/>
      <c r="F118" s="211"/>
    </row>
    <row r="119" spans="2:6" s="163" customFormat="1" ht="12">
      <c r="B119" s="211"/>
      <c r="C119" s="211"/>
      <c r="D119" s="211"/>
      <c r="E119" s="211"/>
      <c r="F119" s="211"/>
    </row>
    <row r="120" spans="2:6" s="163" customFormat="1" ht="12">
      <c r="B120" s="211"/>
      <c r="C120" s="211"/>
      <c r="D120" s="211"/>
      <c r="E120" s="211"/>
      <c r="F120" s="211"/>
    </row>
    <row r="121" spans="2:6" s="163" customFormat="1" ht="12">
      <c r="B121" s="211"/>
      <c r="C121" s="211"/>
      <c r="D121" s="211"/>
      <c r="E121" s="211"/>
      <c r="F121" s="211"/>
    </row>
    <row r="122" spans="2:6" s="163" customFormat="1" ht="12">
      <c r="B122" s="211"/>
      <c r="C122" s="211"/>
      <c r="D122" s="211"/>
      <c r="E122" s="211"/>
      <c r="F122" s="211"/>
    </row>
    <row r="123" spans="2:6" s="163" customFormat="1" ht="12">
      <c r="B123" s="211"/>
      <c r="C123" s="211"/>
      <c r="D123" s="211"/>
      <c r="E123" s="211"/>
      <c r="F123" s="211"/>
    </row>
    <row r="124" spans="2:6" s="163" customFormat="1" ht="12">
      <c r="B124" s="211"/>
      <c r="C124" s="211"/>
      <c r="D124" s="211"/>
      <c r="E124" s="211"/>
      <c r="F124" s="211"/>
    </row>
  </sheetData>
  <sheetProtection password="CC3D" sheet="1" objects="1" scenarios="1" selectLockedCells="1"/>
  <mergeCells count="16">
    <mergeCell ref="B2:D2"/>
    <mergeCell ref="B4:D4"/>
    <mergeCell ref="D8:F9"/>
    <mergeCell ref="B44:C44"/>
    <mergeCell ref="B30:C30"/>
    <mergeCell ref="B26:C26"/>
    <mergeCell ref="B21:C21"/>
    <mergeCell ref="B24:C24"/>
    <mergeCell ref="B28:C28"/>
    <mergeCell ref="B7:C7"/>
    <mergeCell ref="B6:E6"/>
    <mergeCell ref="B65:C65"/>
    <mergeCell ref="B33:C33"/>
    <mergeCell ref="B90:C90"/>
    <mergeCell ref="B95:C95"/>
    <mergeCell ref="B52:C52"/>
  </mergeCells>
  <conditionalFormatting sqref="F10:F110">
    <cfRule type="cellIs" priority="59" dxfId="37" operator="equal" stopIfTrue="1">
      <formula>1</formula>
    </cfRule>
    <cfRule type="cellIs" priority="60" dxfId="36" operator="equal" stopIfTrue="1">
      <formula>0</formula>
    </cfRule>
  </conditionalFormatting>
  <conditionalFormatting sqref="C15">
    <cfRule type="expression" priority="54" dxfId="33" stopIfTrue="1">
      <formula>$C$13="Domestic"</formula>
    </cfRule>
    <cfRule type="expression" priority="55" dxfId="7" stopIfTrue="1">
      <formula>$C$13="Domestic"</formula>
    </cfRule>
  </conditionalFormatting>
  <conditionalFormatting sqref="C16">
    <cfRule type="expression" priority="52" dxfId="33" stopIfTrue="1">
      <formula>$C$13="Non-Domestic"</formula>
    </cfRule>
    <cfRule type="expression" priority="53" dxfId="7" stopIfTrue="1">
      <formula>$C$13="Non-Domestic"</formula>
    </cfRule>
  </conditionalFormatting>
  <conditionalFormatting sqref="B44:C44">
    <cfRule type="expression" priority="51" dxfId="5" stopIfTrue="1">
      <formula>OR($F$43=1,SUM($F$38:$F$42)&gt;0)</formula>
    </cfRule>
  </conditionalFormatting>
  <conditionalFormatting sqref="B90:C90">
    <cfRule type="expression" priority="49" dxfId="6" stopIfTrue="1">
      <formula>OR($F$89=1,SUM($F$67:$F$88)&gt;0)</formula>
    </cfRule>
  </conditionalFormatting>
  <conditionalFormatting sqref="C50">
    <cfRule type="expression" priority="48" dxfId="7" stopIfTrue="1">
      <formula>$C$49&lt;&gt;"Radiators"</formula>
    </cfRule>
  </conditionalFormatting>
  <conditionalFormatting sqref="C97">
    <cfRule type="expression" priority="47" dxfId="7" stopIfTrue="1">
      <formula>$C$96&lt;&gt;"Radiators"</formula>
    </cfRule>
  </conditionalFormatting>
  <conditionalFormatting sqref="C22:C23">
    <cfRule type="expression" priority="34" dxfId="7" stopIfTrue="1">
      <formula>($C$13="Domestic")</formula>
    </cfRule>
  </conditionalFormatting>
  <conditionalFormatting sqref="C25 C27:C28 D67:D88 C96:C103 C39:C43">
    <cfRule type="expression" priority="77" dxfId="7" stopIfTrue="1">
      <formula>D25="Not Required"</formula>
    </cfRule>
  </conditionalFormatting>
  <conditionalFormatting sqref="C45:C46">
    <cfRule type="expression" priority="28" dxfId="7" stopIfTrue="1">
      <formula>D45="Not Required"</formula>
    </cfRule>
  </conditionalFormatting>
  <conditionalFormatting sqref="C49">
    <cfRule type="expression" priority="27" dxfId="7" stopIfTrue="1">
      <formula>D49="Not Required"</formula>
    </cfRule>
  </conditionalFormatting>
  <conditionalFormatting sqref="C50:C56">
    <cfRule type="expression" priority="26" dxfId="7" stopIfTrue="1">
      <formula>D50="Not Required"</formula>
    </cfRule>
  </conditionalFormatting>
  <conditionalFormatting sqref="C59:C62">
    <cfRule type="expression" priority="25" dxfId="7" stopIfTrue="1">
      <formula>D59="Not Required"</formula>
    </cfRule>
  </conditionalFormatting>
  <conditionalFormatting sqref="C22:C32">
    <cfRule type="expression" priority="24" dxfId="7" stopIfTrue="1">
      <formula>$C$13="Domestic"</formula>
    </cfRule>
  </conditionalFormatting>
  <conditionalFormatting sqref="B33:C33">
    <cfRule type="expression" priority="21" dxfId="6" stopIfTrue="1">
      <formula>$B$33=NON_VIABLE</formula>
    </cfRule>
  </conditionalFormatting>
  <conditionalFormatting sqref="C31">
    <cfRule type="expression" priority="18" dxfId="7" stopIfTrue="1">
      <formula>$D$31="Not Required"</formula>
    </cfRule>
  </conditionalFormatting>
  <conditionalFormatting sqref="C106:C109">
    <cfRule type="expression" priority="17" dxfId="7" stopIfTrue="1">
      <formula>D106="Not Required"</formula>
    </cfRule>
  </conditionalFormatting>
  <conditionalFormatting sqref="C91:C92">
    <cfRule type="expression" priority="15" dxfId="7" stopIfTrue="1">
      <formula>D91="Not Required"</formula>
    </cfRule>
  </conditionalFormatting>
  <conditionalFormatting sqref="C67:C88">
    <cfRule type="expression" priority="14" dxfId="7" stopIfTrue="1">
      <formula>E67="Not Required"</formula>
    </cfRule>
  </conditionalFormatting>
  <conditionalFormatting sqref="B26:C26">
    <cfRule type="expression" priority="107" dxfId="5" stopIfTrue="1">
      <formula>$B$26&lt;&gt;""</formula>
    </cfRule>
  </conditionalFormatting>
  <conditionalFormatting sqref="B30:C30">
    <cfRule type="expression" priority="13" dxfId="5" stopIfTrue="1">
      <formula>$B$30&lt;&gt;""</formula>
    </cfRule>
  </conditionalFormatting>
  <conditionalFormatting sqref="C32">
    <cfRule type="expression" priority="11" dxfId="7" stopIfTrue="1">
      <formula>D32="Not Required"</formula>
    </cfRule>
  </conditionalFormatting>
  <conditionalFormatting sqref="C29">
    <cfRule type="expression" priority="10" dxfId="7" stopIfTrue="1">
      <formula>D29="Not Required"</formula>
    </cfRule>
  </conditionalFormatting>
  <conditionalFormatting sqref="C92">
    <cfRule type="expression" priority="9" dxfId="7" stopIfTrue="1">
      <formula>D92="Not Required"</formula>
    </cfRule>
  </conditionalFormatting>
  <conditionalFormatting sqref="C101:C103">
    <cfRule type="expression" priority="8" dxfId="7" stopIfTrue="1">
      <formula>D101="Not Required"</formula>
    </cfRule>
  </conditionalFormatting>
  <conditionalFormatting sqref="B52">
    <cfRule type="expression" priority="7" dxfId="5" stopIfTrue="1">
      <formula>$B$52&lt;&gt;""</formula>
    </cfRule>
  </conditionalFormatting>
  <conditionalFormatting sqref="B21:C21">
    <cfRule type="expression" priority="5" dxfId="6" stopIfTrue="1">
      <formula>$B$21&lt;&gt;""</formula>
    </cfRule>
  </conditionalFormatting>
  <conditionalFormatting sqref="C20">
    <cfRule type="expression" priority="3" dxfId="7" stopIfTrue="1">
      <formula>($C$13="Non-Domestic")</formula>
    </cfRule>
  </conditionalFormatting>
  <conditionalFormatting sqref="B24:C24">
    <cfRule type="expression" priority="2" dxfId="6" stopIfTrue="1">
      <formula>$B$24&lt;&gt;""</formula>
    </cfRule>
  </conditionalFormatting>
  <conditionalFormatting sqref="B28:C28">
    <cfRule type="expression" priority="1" dxfId="5" stopIfTrue="1">
      <formula>$B$28&lt;&gt;""</formula>
    </cfRule>
  </conditionalFormatting>
  <dataValidations count="15">
    <dataValidation type="list" allowBlank="1" showInputMessage="1" showErrorMessage="1" sqref="C106:C109 C59:C62">
      <formula1>YNU</formula1>
    </dataValidation>
    <dataValidation type="list" allowBlank="1" showInputMessage="1" showErrorMessage="1" sqref="C101:C103 C31:C32 C23 C54:C56 C17">
      <formula1>YN</formula1>
    </dataValidation>
    <dataValidation type="list" allowBlank="1" showInputMessage="1" showErrorMessage="1" sqref="C27 C98 C51">
      <formula1>DOM_SYS_CONFIG</formula1>
    </dataValidation>
    <dataValidation type="list" allowBlank="1" showInputMessage="1" showErrorMessage="1" sqref="C100 C53">
      <formula1>DHW_SOURCE</formula1>
    </dataValidation>
    <dataValidation type="whole" operator="greaterThanOrEqual" allowBlank="1" showInputMessage="1" showErrorMessage="1" sqref="C97 C14:C16 C67:D89 C91:C92 C45:C46 C39:C43">
      <formula1>0</formula1>
    </dataValidation>
    <dataValidation type="list" allowBlank="1" showInputMessage="1" showErrorMessage="1" sqref="C96">
      <formula1>EMITTER_NONDOM</formula1>
    </dataValidation>
    <dataValidation type="list" allowBlank="1" showInputMessage="1" showErrorMessage="1" sqref="C99">
      <formula1>DHW_USES</formula1>
    </dataValidation>
    <dataValidation type="list" allowBlank="1" showInputMessage="1" showErrorMessage="1" sqref="C49">
      <formula1>EMITTER</formula1>
    </dataValidation>
    <dataValidation type="list" allowBlank="1" showInputMessage="1" showErrorMessage="1" sqref="C29">
      <formula1>VENT_NONDOM</formula1>
    </dataValidation>
    <dataValidation type="list" allowBlank="1" showInputMessage="1" showErrorMessage="1" sqref="C25">
      <formula1>COOL_MEDIUM_NONDOM</formula1>
    </dataValidation>
    <dataValidation type="list" allowBlank="1" showInputMessage="1" showErrorMessage="1" sqref="C22">
      <formula1>MEDIUM_NONDOM</formula1>
    </dataValidation>
    <dataValidation type="list" allowBlank="1" showInputMessage="1" showErrorMessage="1" sqref="C20">
      <formula1>MEDIUM</formula1>
    </dataValidation>
    <dataValidation type="list" allowBlank="1" showInputMessage="1" showErrorMessage="1" sqref="C13">
      <formula1>B_USE</formula1>
    </dataValidation>
    <dataValidation type="list" allowBlank="1" showInputMessage="1" showErrorMessage="1" sqref="C12">
      <formula1>DOM_AGE</formula1>
    </dataValidation>
    <dataValidation type="list" allowBlank="1" showInputMessage="1" showErrorMessage="1" sqref="C11">
      <formula1>REGION</formula1>
    </dataValidation>
  </dataValidations>
  <hyperlinks>
    <hyperlink ref="B113" location="'User Interface'!A35" display="Back to Domestic Inputs"/>
    <hyperlink ref="B114" location="'User Interface'!A65" display="Back to Non-domestic Inputs"/>
    <hyperlink ref="B112" location="'User Interface'!A9" display="Back to General Information"/>
  </hyperlink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theme="7" tint="0.39998000860214233"/>
  </sheetPr>
  <dimension ref="A1:G82"/>
  <sheetViews>
    <sheetView zoomScale="115" zoomScaleNormal="115" zoomScalePageLayoutView="0" workbookViewId="0" topLeftCell="A1">
      <selection activeCell="C12" sqref="C12:C16"/>
    </sheetView>
  </sheetViews>
  <sheetFormatPr defaultColWidth="9.140625" defaultRowHeight="12.75"/>
  <cols>
    <col min="1" max="1" width="3.8515625" style="4" customWidth="1"/>
    <col min="2" max="2" width="37.57421875" style="4" customWidth="1"/>
    <col min="3" max="3" width="31.140625" style="4" customWidth="1"/>
    <col min="4" max="4" width="21.8515625" style="4" customWidth="1"/>
    <col min="5" max="5" width="3.421875" style="4" customWidth="1"/>
    <col min="6" max="16384" width="9.140625" style="4" customWidth="1"/>
  </cols>
  <sheetData>
    <row r="1" spans="1:5" ht="12.75">
      <c r="A1" s="248"/>
      <c r="B1" s="249"/>
      <c r="C1" s="249"/>
      <c r="D1" s="249"/>
      <c r="E1" s="158"/>
    </row>
    <row r="2" spans="1:7" s="105" customFormat="1" ht="42.75" customHeight="1">
      <c r="A2" s="160"/>
      <c r="B2" s="350" t="s">
        <v>385</v>
      </c>
      <c r="C2" s="350"/>
      <c r="D2" s="350"/>
      <c r="E2" s="161"/>
      <c r="G2" s="159"/>
    </row>
    <row r="3" spans="1:7" s="105" customFormat="1" ht="8.25" customHeight="1">
      <c r="A3" s="160"/>
      <c r="B3" s="147"/>
      <c r="C3" s="147"/>
      <c r="D3" s="147"/>
      <c r="E3" s="161"/>
      <c r="G3" s="159"/>
    </row>
    <row r="4" spans="1:7" s="105" customFormat="1" ht="30" customHeight="1">
      <c r="A4" s="160"/>
      <c r="B4" s="361" t="s">
        <v>315</v>
      </c>
      <c r="C4" s="361"/>
      <c r="D4" s="361"/>
      <c r="E4" s="161"/>
      <c r="G4" s="159"/>
    </row>
    <row r="5" spans="1:7" s="105" customFormat="1" ht="12.75">
      <c r="A5" s="160"/>
      <c r="B5" s="147"/>
      <c r="C5" s="147"/>
      <c r="D5" s="147"/>
      <c r="E5" s="161"/>
      <c r="G5" s="159"/>
    </row>
    <row r="6" spans="1:7" s="105" customFormat="1" ht="28.5" customHeight="1">
      <c r="A6" s="160"/>
      <c r="B6" s="110" t="s">
        <v>429</v>
      </c>
      <c r="C6" s="149"/>
      <c r="D6" s="149"/>
      <c r="E6" s="161"/>
      <c r="G6" s="159"/>
    </row>
    <row r="7" spans="1:5" ht="12.75">
      <c r="A7" s="250"/>
      <c r="B7" s="104" t="s">
        <v>316</v>
      </c>
      <c r="C7" s="147"/>
      <c r="D7" s="148"/>
      <c r="E7" s="161"/>
    </row>
    <row r="8" spans="1:5" ht="34.5" customHeight="1">
      <c r="A8" s="250"/>
      <c r="B8" s="358" t="str">
        <f>IF('User Interface'!$C$13&lt;&gt;"Non-domestic",IF('User Interface'!$I$9&gt;0,GI_ERROR,IF('User Interface'!$I$10&gt;0,TECHDATA_MISSING,IF(Controller!H106&gt;0,METER_NO,IF('User Interface'!$I$12&gt;0,DATA_MISSING,Controller!$D$95)))),"Not Applicable")</f>
        <v>There is data missing in the GENERAL INFORMATION section. Please review and complete the information required.</v>
      </c>
      <c r="C8" s="359"/>
      <c r="D8" s="360"/>
      <c r="E8" s="161"/>
    </row>
    <row r="9" spans="1:5" ht="34.5" customHeight="1">
      <c r="A9" s="250"/>
      <c r="B9" s="358" t="str">
        <f>IF('User Interface'!$C$13&lt;&gt;"Non-domestic",IF('User Interface'!$I$9&gt;0,GI_ERROR,IF('User Interface'!$I$10&gt;0,TECHDATA_MISSING,IF('User Interface'!C17="Yes",HCA_READY,IF(Controller!$I$106&gt;0,HCA_NO,IF('User Interface'!$I$12&gt;0,DATA_MISSING,Controller!$D$96))))),"Not Applicable")</f>
        <v>There is data missing in the GENERAL INFORMATION section. Please review and complete the information required.</v>
      </c>
      <c r="C9" s="359"/>
      <c r="D9" s="360"/>
      <c r="E9" s="161"/>
    </row>
    <row r="10" spans="1:5" ht="12.75">
      <c r="A10" s="250"/>
      <c r="B10" s="153"/>
      <c r="C10" s="153"/>
      <c r="D10" s="153"/>
      <c r="E10" s="161"/>
    </row>
    <row r="11" spans="1:5" ht="12.75">
      <c r="A11" s="250"/>
      <c r="B11" s="104" t="s">
        <v>554</v>
      </c>
      <c r="C11" s="153"/>
      <c r="D11" s="153"/>
      <c r="E11" s="161"/>
    </row>
    <row r="12" spans="1:5" ht="12.75">
      <c r="A12" s="250"/>
      <c r="B12" s="213" t="s">
        <v>556</v>
      </c>
      <c r="C12" s="226">
        <f>IF(AND(OR(B8=GI_ERROR,B8=TECHDATA_MISSING,B8=DATA_MISSING,B8="Not Applicable"),OR(B9=GI_ERROR,B9=TECHDATA_MISSING,B9=DATA_MISSING,B9=HCA_READY,B9="Not Applicable")),"",CBA!$E$24)</f>
      </c>
      <c r="D12" s="214" t="s">
        <v>555</v>
      </c>
      <c r="E12" s="161"/>
    </row>
    <row r="13" spans="1:5" ht="12.75">
      <c r="A13" s="250"/>
      <c r="B13" s="215" t="s">
        <v>557</v>
      </c>
      <c r="C13" s="224">
        <f>IF(C12="","",CBA!$E$28)</f>
      </c>
      <c r="D13" s="216" t="s">
        <v>576</v>
      </c>
      <c r="E13" s="161"/>
    </row>
    <row r="14" spans="1:5" ht="12.75">
      <c r="A14" s="250"/>
      <c r="B14" s="215" t="s">
        <v>559</v>
      </c>
      <c r="C14" s="224">
        <f>IF(C12="","",IF(CBA!$C$167&gt;CBA!$C$172,CBA!$C$41,CBA!$C$52))</f>
      </c>
      <c r="D14" s="216"/>
      <c r="E14" s="161"/>
    </row>
    <row r="15" spans="1:5" ht="12.75">
      <c r="A15" s="250"/>
      <c r="B15" s="215" t="s">
        <v>558</v>
      </c>
      <c r="C15" s="224">
        <f>IF(C12="","",IF(CBA!$C$167&gt;CBA!$C$172,CBA!$E$40,CBA!$E$51))</f>
      </c>
      <c r="D15" s="216" t="s">
        <v>576</v>
      </c>
      <c r="E15" s="161"/>
    </row>
    <row r="16" spans="1:5" ht="12.75">
      <c r="A16" s="250"/>
      <c r="B16" s="217" t="s">
        <v>560</v>
      </c>
      <c r="C16" s="225">
        <f>IF(C12="","",IF(CBA!$C$167&gt;CBA!$C$172,CBA!$C$167,CBA!$C$172))</f>
      </c>
      <c r="D16" s="218"/>
      <c r="E16" s="161"/>
    </row>
    <row r="17" spans="1:5" ht="12.75">
      <c r="A17" s="250"/>
      <c r="B17" s="153"/>
      <c r="C17" s="153"/>
      <c r="D17" s="153"/>
      <c r="E17" s="161"/>
    </row>
    <row r="18" spans="1:5" ht="12.75">
      <c r="A18" s="250"/>
      <c r="B18" s="104" t="s">
        <v>113</v>
      </c>
      <c r="C18" s="104"/>
      <c r="D18" s="148"/>
      <c r="E18" s="161"/>
    </row>
    <row r="19" spans="1:5" ht="57.75" customHeight="1">
      <c r="A19" s="250"/>
      <c r="B19" s="358">
        <f>IF(OR($B$8=METER_YES,$B$9=HCA_YES),REFURB_NOTE,"")</f>
      </c>
      <c r="C19" s="359"/>
      <c r="D19" s="360"/>
      <c r="E19" s="161"/>
    </row>
    <row r="20" spans="1:5" ht="12.75">
      <c r="A20" s="250"/>
      <c r="B20" s="148"/>
      <c r="C20" s="148"/>
      <c r="D20" s="148"/>
      <c r="E20" s="161"/>
    </row>
    <row r="21" spans="1:5" ht="57.75" customHeight="1">
      <c r="A21" s="250"/>
      <c r="B21" s="358">
        <f>IF(AND('User Interface'!$C$17="Yes",$B$8=METER_YES),HCA_NOTE,"")</f>
      </c>
      <c r="C21" s="359"/>
      <c r="D21" s="360"/>
      <c r="E21" s="161"/>
    </row>
    <row r="22" spans="1:5" ht="12.75">
      <c r="A22" s="250"/>
      <c r="B22" s="148"/>
      <c r="C22" s="148"/>
      <c r="D22" s="148"/>
      <c r="E22" s="161"/>
    </row>
    <row r="23" spans="1:5" ht="57.75" customHeight="1">
      <c r="A23" s="250"/>
      <c r="B23" s="358">
        <f>IF(OR($B$8=METER_YES,$B$9=HCA_YES),LEGAL_NOTE,"")</f>
      </c>
      <c r="C23" s="359"/>
      <c r="D23" s="360"/>
      <c r="E23" s="161"/>
    </row>
    <row r="24" spans="1:5" ht="12.75">
      <c r="A24" s="250"/>
      <c r="B24" s="148"/>
      <c r="C24" s="148"/>
      <c r="D24" s="148"/>
      <c r="E24" s="161"/>
    </row>
    <row r="25" spans="1:7" s="105" customFormat="1" ht="28.5" customHeight="1">
      <c r="A25" s="160"/>
      <c r="B25" s="110" t="s">
        <v>430</v>
      </c>
      <c r="C25" s="149"/>
      <c r="D25" s="149"/>
      <c r="E25" s="161"/>
      <c r="G25" s="159"/>
    </row>
    <row r="26" spans="1:5" ht="12.75">
      <c r="A26" s="250"/>
      <c r="B26" s="104" t="s">
        <v>316</v>
      </c>
      <c r="C26" s="147"/>
      <c r="D26" s="148"/>
      <c r="E26" s="161"/>
    </row>
    <row r="27" spans="1:5" ht="34.5" customHeight="1">
      <c r="A27" s="250"/>
      <c r="B27" s="358" t="str">
        <f>IF('User Interface'!$C$13&lt;&gt;"Domestic",IF('User Interface'!$I$9&gt;0,GI_ERROR,IF('User Interface'!$I$10&gt;0,TECHDATA_MISSING,IF(Controller!H107&gt;0,METER_NO,IF('User Interface'!$I$13&gt;0,DATA_MISSING,Controller!$D$97)))),"Not Applicable")</f>
        <v>There is data missing in the GENERAL INFORMATION section. Please review and complete the information required.</v>
      </c>
      <c r="C27" s="359"/>
      <c r="D27" s="360"/>
      <c r="E27" s="161"/>
    </row>
    <row r="28" spans="1:5" ht="34.5" customHeight="1">
      <c r="A28" s="250"/>
      <c r="B28" s="358" t="str">
        <f>IF('User Interface'!$C$13&lt;&gt;"Domestic",IF('User Interface'!$I$9&gt;0,GI_ERROR,IF('User Interface'!$I$10&gt;0,TECHDATA_MISSING,IF('User Interface'!C17="Yes",HCA_READY,IF(Controller!$I$107&gt;0,HCA_NO,IF('User Interface'!$I$13&gt;0,DATA_MISSING,Controller!$D$98))))),"Not Applicable")</f>
        <v>There is data missing in the GENERAL INFORMATION section. Please review and complete the information required.</v>
      </c>
      <c r="C28" s="359"/>
      <c r="D28" s="360"/>
      <c r="E28" s="161"/>
    </row>
    <row r="29" spans="1:7" s="105" customFormat="1" ht="12.75">
      <c r="A29" s="160"/>
      <c r="B29" s="147"/>
      <c r="C29" s="147"/>
      <c r="D29" s="147"/>
      <c r="E29" s="161"/>
      <c r="G29" s="159"/>
    </row>
    <row r="30" spans="1:5" ht="12.75">
      <c r="A30" s="250"/>
      <c r="B30" s="104" t="s">
        <v>554</v>
      </c>
      <c r="C30" s="153"/>
      <c r="D30" s="153"/>
      <c r="E30" s="161"/>
    </row>
    <row r="31" spans="1:5" ht="12.75">
      <c r="A31" s="250"/>
      <c r="B31" s="213" t="s">
        <v>556</v>
      </c>
      <c r="C31" s="226">
        <f>IF(AND(OR(B27=GI_ERROR,B27=TECHDATA_MISSING,B27=DATA_MISSING,B27="Not Applicable"),OR(B28=GI_ERROR,B28=TECHDATA_MISSING,B28=DATA_MISSING,B28=HCA_READY,B28="Not Applicable")),"",CBA!$E$85)</f>
      </c>
      <c r="D31" s="214" t="s">
        <v>555</v>
      </c>
      <c r="E31" s="161"/>
    </row>
    <row r="32" spans="1:5" ht="12.75">
      <c r="A32" s="250"/>
      <c r="B32" s="215" t="s">
        <v>557</v>
      </c>
      <c r="C32" s="224">
        <f>IF(C31="","",CBA!$E$95)</f>
      </c>
      <c r="D32" s="216" t="s">
        <v>576</v>
      </c>
      <c r="E32" s="161"/>
    </row>
    <row r="33" spans="1:5" ht="12.75">
      <c r="A33" s="250"/>
      <c r="B33" s="215" t="s">
        <v>559</v>
      </c>
      <c r="C33" s="224">
        <f>IF(C31="","",IF(CBA!$C$178&gt;CBA!$C$183,CBA!$C$110,IF('User Interface'!C96="Radiators",CBA!$C$121,CBA!$C$110)))</f>
      </c>
      <c r="D33" s="216"/>
      <c r="E33" s="161"/>
    </row>
    <row r="34" spans="1:5" ht="12.75">
      <c r="A34" s="250"/>
      <c r="B34" s="215" t="s">
        <v>558</v>
      </c>
      <c r="C34" s="224">
        <f>IF(C31="","",IF(CBA!$C$178&gt;CBA!$C$183,CBA!$E$109,IF('User Interface'!C96="Radiators",CBA!$E$120,CBA!$E$109)))</f>
      </c>
      <c r="D34" s="216" t="s">
        <v>576</v>
      </c>
      <c r="E34" s="161"/>
    </row>
    <row r="35" spans="1:5" ht="12.75">
      <c r="A35" s="250"/>
      <c r="B35" s="217" t="s">
        <v>560</v>
      </c>
      <c r="C35" s="225">
        <f>IF(C31="","",IF(CBA!$C$178&gt;CBA!$C$183,CBA!$C$178,IF('User Interface'!C96="Radiators",CBA!$C$183,CBA!$C$178)))</f>
      </c>
      <c r="D35" s="218"/>
      <c r="E35" s="161"/>
    </row>
    <row r="36" spans="1:5" ht="12.75">
      <c r="A36" s="250"/>
      <c r="B36" s="153"/>
      <c r="C36" s="153"/>
      <c r="D36" s="153"/>
      <c r="E36" s="161"/>
    </row>
    <row r="37" spans="1:5" ht="12.75">
      <c r="A37" s="250"/>
      <c r="B37" s="106" t="s">
        <v>431</v>
      </c>
      <c r="C37" s="150"/>
      <c r="D37" s="148"/>
      <c r="E37" s="161"/>
    </row>
    <row r="38" spans="1:5" ht="48.75" customHeight="1">
      <c r="A38" s="250"/>
      <c r="B38" s="358" t="str">
        <f>IF('User Interface'!$C$13&lt;&gt;"Domestic",IF('User Interface'!I9&gt;0,GI_ERROR,IF(OR('User Interface'!C23="No"),COOLING_NA,IF(Controller!J107&gt;0,COOL_METER_NO,IF('User Interface'!$I$13+'User Interface'!$I$14&gt;0,DATA_MISSING,Controller!$D$99)))),"Not Applicable")</f>
        <v>There is data missing in the GENERAL INFORMATION section. Please review and complete the information required.</v>
      </c>
      <c r="C38" s="359"/>
      <c r="D38" s="360"/>
      <c r="E38" s="161"/>
    </row>
    <row r="39" spans="1:5" ht="12.75">
      <c r="A39" s="250"/>
      <c r="B39" s="147"/>
      <c r="C39" s="147"/>
      <c r="D39" s="148"/>
      <c r="E39" s="161"/>
    </row>
    <row r="40" spans="1:5" ht="12.75">
      <c r="A40" s="250"/>
      <c r="B40" s="104" t="s">
        <v>554</v>
      </c>
      <c r="C40" s="153"/>
      <c r="D40" s="153"/>
      <c r="E40" s="161"/>
    </row>
    <row r="41" spans="1:5" ht="12.75">
      <c r="A41" s="250"/>
      <c r="B41" s="213" t="s">
        <v>556</v>
      </c>
      <c r="C41" s="226">
        <f>IF(OR(B38=GI_ERROR,B38=COOLING_NA,B38=DATA_MISSING,B38="Not Applicable"),"",CBA!$E$91)</f>
      </c>
      <c r="D41" s="214" t="s">
        <v>555</v>
      </c>
      <c r="E41" s="161"/>
    </row>
    <row r="42" spans="1:5" ht="12.75">
      <c r="A42" s="250"/>
      <c r="B42" s="215" t="s">
        <v>557</v>
      </c>
      <c r="C42" s="224">
        <f>IF(C41="","",CBA!$E$96)</f>
      </c>
      <c r="D42" s="222" t="s">
        <v>576</v>
      </c>
      <c r="E42" s="161"/>
    </row>
    <row r="43" spans="1:5" ht="12.75">
      <c r="A43" s="250"/>
      <c r="B43" s="215" t="s">
        <v>559</v>
      </c>
      <c r="C43" s="224">
        <f>IF(C41="","",CBA!$C$110)</f>
      </c>
      <c r="D43" s="222"/>
      <c r="E43" s="161"/>
    </row>
    <row r="44" spans="1:5" ht="12.75">
      <c r="A44" s="250"/>
      <c r="B44" s="215" t="s">
        <v>558</v>
      </c>
      <c r="C44" s="224">
        <f>IF(C41="","",CBA!$E$109)</f>
      </c>
      <c r="D44" s="222" t="s">
        <v>576</v>
      </c>
      <c r="E44" s="161"/>
    </row>
    <row r="45" spans="1:5" ht="12.75">
      <c r="A45" s="250"/>
      <c r="B45" s="217" t="s">
        <v>560</v>
      </c>
      <c r="C45" s="225">
        <f>IF(C41="","",CBA!$C$188)</f>
      </c>
      <c r="D45" s="223"/>
      <c r="E45" s="161"/>
    </row>
    <row r="46" spans="1:5" ht="12.75">
      <c r="A46" s="250"/>
      <c r="B46" s="153"/>
      <c r="C46" s="153"/>
      <c r="D46" s="153"/>
      <c r="E46" s="161"/>
    </row>
    <row r="47" spans="1:5" ht="12.75">
      <c r="A47" s="250"/>
      <c r="B47" s="104" t="s">
        <v>113</v>
      </c>
      <c r="C47" s="104"/>
      <c r="D47" s="148"/>
      <c r="E47" s="161"/>
    </row>
    <row r="48" spans="1:5" ht="57.75" customHeight="1">
      <c r="A48" s="250"/>
      <c r="B48" s="358">
        <f>IF(OR(B27=METER_YES,B28=HCA_YES,B38=COOL_METER_YES),REFURB_NOTE,"")</f>
      </c>
      <c r="C48" s="359"/>
      <c r="D48" s="360"/>
      <c r="E48" s="161"/>
    </row>
    <row r="49" spans="1:5" ht="12.75">
      <c r="A49" s="250"/>
      <c r="B49" s="148"/>
      <c r="C49" s="148"/>
      <c r="D49" s="148"/>
      <c r="E49" s="161"/>
    </row>
    <row r="50" spans="1:5" ht="57.75" customHeight="1">
      <c r="A50" s="250"/>
      <c r="B50" s="358">
        <f>IF(AND('User Interface'!$C$17="Yes",B27=METER_YES),HCA_NOTE,"")</f>
      </c>
      <c r="C50" s="359"/>
      <c r="D50" s="360"/>
      <c r="E50" s="161"/>
    </row>
    <row r="51" spans="1:5" ht="12.75">
      <c r="A51" s="250"/>
      <c r="B51" s="148"/>
      <c r="C51" s="148"/>
      <c r="D51" s="148"/>
      <c r="E51" s="161"/>
    </row>
    <row r="52" spans="1:5" ht="57.75" customHeight="1">
      <c r="A52" s="250"/>
      <c r="B52" s="358">
        <f>IF(OR(B27=METER_YES,B27=HCA_YES,B38=COOL_METER_YES),LEGAL_NOTE,"")</f>
      </c>
      <c r="C52" s="359"/>
      <c r="D52" s="360"/>
      <c r="E52" s="161"/>
    </row>
    <row r="53" spans="1:5" ht="12.75">
      <c r="A53" s="250"/>
      <c r="B53" s="148"/>
      <c r="C53" s="148"/>
      <c r="D53" s="148"/>
      <c r="E53" s="161"/>
    </row>
    <row r="54" spans="1:7" s="105" customFormat="1" ht="28.5" customHeight="1">
      <c r="A54" s="160"/>
      <c r="B54" s="110" t="s">
        <v>434</v>
      </c>
      <c r="C54" s="149"/>
      <c r="D54" s="149"/>
      <c r="E54" s="161"/>
      <c r="G54" s="159"/>
    </row>
    <row r="55" spans="1:5" ht="12.75">
      <c r="A55" s="250"/>
      <c r="B55" s="104" t="s">
        <v>316</v>
      </c>
      <c r="C55" s="147"/>
      <c r="D55" s="148"/>
      <c r="E55" s="161"/>
    </row>
    <row r="56" spans="1:5" ht="34.5" customHeight="1">
      <c r="A56" s="250"/>
      <c r="B56" s="358" t="str">
        <f>IF('User Interface'!$C$13="Mixed",IF('User Interface'!$I$9&gt;0,GI_ERROR,IF('User Interface'!$I$10&gt;0,TECHDATA_MISSING,IF(AND(Controller!$H$106&gt;0,Controller!$H$107&gt;0),METER_NO,IF(OR('User Interface'!$I$12&gt;0,'User Interface'!$I$13&gt;0),DATA_MISSING,Controller!D100)))),"Not Applicable")</f>
        <v>Not Applicable</v>
      </c>
      <c r="C56" s="359"/>
      <c r="D56" s="360"/>
      <c r="E56" s="161"/>
    </row>
    <row r="57" spans="1:5" ht="34.5" customHeight="1">
      <c r="A57" s="250"/>
      <c r="B57" s="358" t="str">
        <f>IF('User Interface'!$C$13="Mixed",IF('User Interface'!$I$9&gt;0,GI_ERROR,IF('User Interface'!$I$10&gt;0,TECHDATA_MISSING,IF('User Interface'!C17="Yes",HCA_READY,IF(AND(Controller!$I$106&gt;0,Controller!$I$107&gt;0),HCA_NO,IF(OR('User Interface'!$I$12&gt;0,'User Interface'!$I$13&gt;0),DATA_MISSING,Controller!D101))))),"Not Applicable")</f>
        <v>Not Applicable</v>
      </c>
      <c r="C57" s="359"/>
      <c r="D57" s="360"/>
      <c r="E57" s="161"/>
    </row>
    <row r="58" spans="1:7" s="105" customFormat="1" ht="12.75">
      <c r="A58" s="160"/>
      <c r="B58" s="147"/>
      <c r="C58" s="147"/>
      <c r="D58" s="147"/>
      <c r="E58" s="161"/>
      <c r="G58" s="159"/>
    </row>
    <row r="59" spans="1:5" ht="12.75">
      <c r="A59" s="250"/>
      <c r="B59" s="104" t="s">
        <v>554</v>
      </c>
      <c r="C59" s="153"/>
      <c r="D59" s="153"/>
      <c r="E59" s="161"/>
    </row>
    <row r="60" spans="1:5" ht="12.75">
      <c r="A60" s="250"/>
      <c r="B60" s="213" t="s">
        <v>556</v>
      </c>
      <c r="C60" s="226">
        <f>IF(AND(OR(B56=GI_ERROR,B56=TECHDATA_MISSING,B56=DATA_MISSING,B56="Not Applicable"),OR(B57=GI_ERROR,B57=TECHDATA_MISSING,B57=DATA_MISSING,B57=HCA_READY,B57="Not Applicable")),"",CBA!$E$85+CBA!$E$24)</f>
      </c>
      <c r="D60" s="214" t="s">
        <v>555</v>
      </c>
      <c r="E60" s="161"/>
    </row>
    <row r="61" spans="1:5" ht="12.75">
      <c r="A61" s="250"/>
      <c r="B61" s="215" t="s">
        <v>557</v>
      </c>
      <c r="C61" s="224">
        <f>IF(C60="","",CBA!$E$95+CBA!$E$28)</f>
      </c>
      <c r="D61" s="216" t="s">
        <v>576</v>
      </c>
      <c r="E61" s="161"/>
    </row>
    <row r="62" spans="1:5" ht="12.75">
      <c r="A62" s="250"/>
      <c r="B62" s="215" t="s">
        <v>559</v>
      </c>
      <c r="C62" s="224">
        <f>IF(C60="","",IF(CBA!$C$194&gt;CBA!$C$199,CBA!$C$138,CBA!$C$143))</f>
      </c>
      <c r="D62" s="216"/>
      <c r="E62" s="161"/>
    </row>
    <row r="63" spans="1:5" ht="12.75">
      <c r="A63" s="250"/>
      <c r="B63" s="215" t="s">
        <v>558</v>
      </c>
      <c r="C63" s="224">
        <f>IF(C60="","",IF(CBA!$C$194&gt;CBA!$C$199,CBA!$E$137,CBA!$E$142))</f>
      </c>
      <c r="D63" s="216" t="s">
        <v>576</v>
      </c>
      <c r="E63" s="161"/>
    </row>
    <row r="64" spans="1:5" ht="12.75">
      <c r="A64" s="250"/>
      <c r="B64" s="217" t="s">
        <v>560</v>
      </c>
      <c r="C64" s="225">
        <f>IF(C60="","",IF(CBA!$C$194&gt;CBA!$C$199,CBA!$C$194,CBA!$C$199))</f>
      </c>
      <c r="D64" s="218"/>
      <c r="E64" s="161"/>
    </row>
    <row r="65" spans="1:5" ht="12.75">
      <c r="A65" s="250"/>
      <c r="B65" s="153"/>
      <c r="C65" s="153"/>
      <c r="D65" s="153"/>
      <c r="E65" s="161"/>
    </row>
    <row r="66" spans="1:5" ht="12.75">
      <c r="A66" s="250"/>
      <c r="B66" s="106" t="s">
        <v>431</v>
      </c>
      <c r="C66" s="150"/>
      <c r="D66" s="148"/>
      <c r="E66" s="161"/>
    </row>
    <row r="67" spans="1:5" ht="48.75" customHeight="1">
      <c r="A67" s="250"/>
      <c r="B67" s="358" t="str">
        <f>IF('User Interface'!$C$13="Mixed",B38,"Not Applicable")</f>
        <v>Not Applicable</v>
      </c>
      <c r="C67" s="359"/>
      <c r="D67" s="360"/>
      <c r="E67" s="161"/>
    </row>
    <row r="68" spans="1:5" ht="12.75">
      <c r="A68" s="250"/>
      <c r="B68" s="147"/>
      <c r="C68" s="147"/>
      <c r="D68" s="148"/>
      <c r="E68" s="161"/>
    </row>
    <row r="69" spans="1:5" ht="12.75">
      <c r="A69" s="250"/>
      <c r="B69" s="104" t="s">
        <v>554</v>
      </c>
      <c r="C69" s="153"/>
      <c r="D69" s="153"/>
      <c r="E69" s="161"/>
    </row>
    <row r="70" spans="1:5" ht="12.75">
      <c r="A70" s="250"/>
      <c r="B70" s="213" t="s">
        <v>556</v>
      </c>
      <c r="C70" s="226">
        <f>IF(OR(B67=GI_ERROR,B67=COOLING_NA,B67=DATA_MISSING,B67="Not Applicable"),"",CBA!$E$91)</f>
      </c>
      <c r="D70" s="214" t="s">
        <v>555</v>
      </c>
      <c r="E70" s="161"/>
    </row>
    <row r="71" spans="1:5" ht="12.75">
      <c r="A71" s="250"/>
      <c r="B71" s="215" t="s">
        <v>557</v>
      </c>
      <c r="C71" s="224">
        <f>IF(C70="","",CBA!$E$96)</f>
      </c>
      <c r="D71" s="216" t="s">
        <v>576</v>
      </c>
      <c r="E71" s="161"/>
    </row>
    <row r="72" spans="1:5" ht="12.75">
      <c r="A72" s="250"/>
      <c r="B72" s="215" t="s">
        <v>559</v>
      </c>
      <c r="C72" s="224">
        <f>IF(C70="","",CBA!$C$110)</f>
      </c>
      <c r="D72" s="216"/>
      <c r="E72" s="161"/>
    </row>
    <row r="73" spans="1:5" ht="12.75">
      <c r="A73" s="250"/>
      <c r="B73" s="215" t="s">
        <v>558</v>
      </c>
      <c r="C73" s="224">
        <f>IF(C70="","",CBA!$E$109)</f>
      </c>
      <c r="D73" s="216" t="s">
        <v>576</v>
      </c>
      <c r="E73" s="161"/>
    </row>
    <row r="74" spans="1:5" ht="12.75">
      <c r="A74" s="250"/>
      <c r="B74" s="217" t="s">
        <v>560</v>
      </c>
      <c r="C74" s="225">
        <f>IF(C70="","",CBA!$C$188)</f>
      </c>
      <c r="D74" s="218"/>
      <c r="E74" s="161"/>
    </row>
    <row r="75" spans="1:5" ht="12.75">
      <c r="A75" s="250"/>
      <c r="B75" s="153"/>
      <c r="C75" s="153"/>
      <c r="D75" s="153"/>
      <c r="E75" s="161"/>
    </row>
    <row r="76" spans="1:5" ht="12.75">
      <c r="A76" s="250"/>
      <c r="B76" s="104" t="s">
        <v>113</v>
      </c>
      <c r="C76" s="104"/>
      <c r="D76" s="148"/>
      <c r="E76" s="161"/>
    </row>
    <row r="77" spans="1:5" ht="57.75" customHeight="1">
      <c r="A77" s="250"/>
      <c r="B77" s="358">
        <f>IF(OR(B56=METER_YES,B57=HCA_YES,B67=COOL_METER_YES),REFURB_NOTE,"")</f>
      </c>
      <c r="C77" s="359"/>
      <c r="D77" s="360"/>
      <c r="E77" s="161"/>
    </row>
    <row r="78" spans="1:5" ht="12.75">
      <c r="A78" s="250"/>
      <c r="B78" s="148"/>
      <c r="C78" s="148"/>
      <c r="D78" s="148"/>
      <c r="E78" s="161"/>
    </row>
    <row r="79" spans="1:5" ht="57.75" customHeight="1">
      <c r="A79" s="250"/>
      <c r="B79" s="358">
        <f>IF(AND('User Interface'!$C$17="Yes",B56=METER_YES),HCA_NOTE,"")</f>
      </c>
      <c r="C79" s="359"/>
      <c r="D79" s="360"/>
      <c r="E79" s="161"/>
    </row>
    <row r="80" spans="1:5" ht="12.75">
      <c r="A80" s="250"/>
      <c r="B80" s="148"/>
      <c r="C80" s="148"/>
      <c r="D80" s="148"/>
      <c r="E80" s="161"/>
    </row>
    <row r="81" spans="1:5" ht="57.75" customHeight="1">
      <c r="A81" s="250"/>
      <c r="B81" s="358">
        <f>IF(OR(B56=METER_YES,B57=HCA_YES,B67=COOL_METER_YES),LEGAL_NOTE,"")</f>
      </c>
      <c r="C81" s="359"/>
      <c r="D81" s="360"/>
      <c r="E81" s="161"/>
    </row>
    <row r="82" spans="1:5" ht="13.5" thickBot="1">
      <c r="A82" s="251"/>
      <c r="B82" s="252"/>
      <c r="C82" s="252"/>
      <c r="D82" s="252"/>
      <c r="E82" s="253"/>
    </row>
  </sheetData>
  <sheetProtection selectLockedCells="1"/>
  <mergeCells count="19">
    <mergeCell ref="B19:D19"/>
    <mergeCell ref="B21:D21"/>
    <mergeCell ref="B9:D9"/>
    <mergeCell ref="B23:D23"/>
    <mergeCell ref="B2:D2"/>
    <mergeCell ref="B4:D4"/>
    <mergeCell ref="B8:D8"/>
    <mergeCell ref="B27:D27"/>
    <mergeCell ref="B28:D28"/>
    <mergeCell ref="B38:D38"/>
    <mergeCell ref="B48:D48"/>
    <mergeCell ref="B50:D50"/>
    <mergeCell ref="B79:D79"/>
    <mergeCell ref="B81:D81"/>
    <mergeCell ref="B52:D52"/>
    <mergeCell ref="B56:D56"/>
    <mergeCell ref="B57:D57"/>
    <mergeCell ref="B67:D67"/>
    <mergeCell ref="B77:D77"/>
  </mergeCells>
  <conditionalFormatting sqref="B70:B74 D70:D74">
    <cfRule type="expression" priority="6" dxfId="0" stopIfTrue="1">
      <formula>OR($C$70="")</formula>
    </cfRule>
  </conditionalFormatting>
  <conditionalFormatting sqref="B60:B64 D60:D64">
    <cfRule type="expression" priority="5" dxfId="0" stopIfTrue="1">
      <formula>OR($C$60="")</formula>
    </cfRule>
  </conditionalFormatting>
  <conditionalFormatting sqref="B41:B45 D41:D45">
    <cfRule type="expression" priority="3" dxfId="0" stopIfTrue="1">
      <formula>OR($C$41="")</formula>
    </cfRule>
  </conditionalFormatting>
  <conditionalFormatting sqref="B31:B35 D31:D35">
    <cfRule type="expression" priority="2" dxfId="0" stopIfTrue="1">
      <formula>OR($C$31="")</formula>
    </cfRule>
  </conditionalFormatting>
  <conditionalFormatting sqref="B12:B16 D12:D16">
    <cfRule type="expression" priority="1" dxfId="0" stopIfTrue="1">
      <formula>OR($C$12="")</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rgb="FF92D050"/>
  </sheetPr>
  <dimension ref="A1:K355"/>
  <sheetViews>
    <sheetView zoomScale="80" zoomScaleNormal="80" zoomScalePageLayoutView="0" workbookViewId="0" topLeftCell="A1">
      <selection activeCell="D20" sqref="D20"/>
    </sheetView>
  </sheetViews>
  <sheetFormatPr defaultColWidth="9.140625" defaultRowHeight="12.75"/>
  <cols>
    <col min="1" max="1" width="2.8515625" style="107" customWidth="1"/>
    <col min="2" max="2" width="24.421875" style="128" bestFit="1" customWidth="1"/>
    <col min="3" max="3" width="50.7109375" style="52" customWidth="1"/>
    <col min="4" max="4" width="41.28125" style="52" customWidth="1"/>
    <col min="5" max="5" width="27.7109375" style="52" customWidth="1"/>
    <col min="6" max="6" width="7.57421875" style="256" customWidth="1"/>
    <col min="7" max="7" width="2.7109375" style="256" customWidth="1"/>
    <col min="8" max="10" width="7.57421875" style="256" customWidth="1"/>
    <col min="11" max="11" width="2.7109375" style="255" customWidth="1"/>
    <col min="12" max="16384" width="9.140625" style="107" customWidth="1"/>
  </cols>
  <sheetData>
    <row r="1" spans="1:10" ht="12.75">
      <c r="A1" s="53"/>
      <c r="B1" s="137" t="s">
        <v>538</v>
      </c>
      <c r="C1" s="53"/>
      <c r="D1" s="130"/>
      <c r="E1" s="130"/>
      <c r="F1" s="254"/>
      <c r="G1" s="254"/>
      <c r="H1" s="254"/>
      <c r="I1" s="254"/>
      <c r="J1" s="254"/>
    </row>
    <row r="2" spans="1:7" ht="12.75">
      <c r="A2" s="53"/>
      <c r="G2" s="254"/>
    </row>
    <row r="3" spans="1:7" ht="12.75">
      <c r="A3" s="53"/>
      <c r="C3" s="136" t="s">
        <v>537</v>
      </c>
      <c r="D3" s="139">
        <f>'User Interface'!C10</f>
        <v>0</v>
      </c>
      <c r="G3" s="254"/>
    </row>
    <row r="4" spans="1:10" ht="12.75">
      <c r="A4" s="53"/>
      <c r="C4" s="136" t="s">
        <v>536</v>
      </c>
      <c r="D4" s="139">
        <f>'User Interface'!C14</f>
        <v>0</v>
      </c>
      <c r="F4" s="148"/>
      <c r="G4" s="254"/>
      <c r="H4" s="148"/>
      <c r="I4" s="148"/>
      <c r="J4" s="148"/>
    </row>
    <row r="5" spans="1:10" ht="51">
      <c r="A5" s="53"/>
      <c r="F5" s="127"/>
      <c r="G5" s="254"/>
      <c r="H5" s="145" t="s">
        <v>307</v>
      </c>
      <c r="I5" s="145" t="s">
        <v>418</v>
      </c>
      <c r="J5" s="145" t="s">
        <v>308</v>
      </c>
    </row>
    <row r="6" spans="1:10" ht="12.75">
      <c r="A6" s="53"/>
      <c r="G6" s="254"/>
      <c r="H6" s="257"/>
      <c r="I6" s="257"/>
      <c r="J6" s="257"/>
    </row>
    <row r="7" spans="1:10" ht="12.75">
      <c r="A7" s="53"/>
      <c r="B7" s="125"/>
      <c r="C7" s="126" t="s">
        <v>119</v>
      </c>
      <c r="D7" s="126" t="s">
        <v>120</v>
      </c>
      <c r="F7" s="148"/>
      <c r="G7" s="254"/>
      <c r="H7" s="258"/>
      <c r="I7" s="258"/>
      <c r="J7" s="258"/>
    </row>
    <row r="8" spans="1:10" ht="12.75">
      <c r="A8" s="53"/>
      <c r="C8" s="136" t="s">
        <v>167</v>
      </c>
      <c r="D8" s="139">
        <f>'User Interface'!C11</f>
        <v>0</v>
      </c>
      <c r="G8" s="254"/>
      <c r="H8" s="257"/>
      <c r="I8" s="257"/>
      <c r="J8" s="257"/>
    </row>
    <row r="9" spans="1:10" ht="12.75">
      <c r="A9" s="53"/>
      <c r="C9" s="136" t="s">
        <v>58</v>
      </c>
      <c r="D9" s="139">
        <f>'User Interface'!C12</f>
        <v>0</v>
      </c>
      <c r="G9" s="254"/>
      <c r="H9" s="257"/>
      <c r="I9" s="257"/>
      <c r="J9" s="257"/>
    </row>
    <row r="10" spans="1:10" ht="12.75">
      <c r="A10" s="53"/>
      <c r="C10" s="136" t="s">
        <v>57</v>
      </c>
      <c r="D10" s="139">
        <f>'User Interface'!C13</f>
        <v>0</v>
      </c>
      <c r="G10" s="254"/>
      <c r="H10" s="257"/>
      <c r="I10" s="257"/>
      <c r="J10" s="257"/>
    </row>
    <row r="11" spans="1:10" ht="25.5">
      <c r="A11" s="53"/>
      <c r="C11" s="136" t="s">
        <v>138</v>
      </c>
      <c r="D11" s="139">
        <f>'User Interface'!C15</f>
        <v>0</v>
      </c>
      <c r="G11" s="254"/>
      <c r="H11" s="257"/>
      <c r="I11" s="257"/>
      <c r="J11" s="257"/>
    </row>
    <row r="12" spans="1:10" ht="12.75">
      <c r="A12" s="53"/>
      <c r="C12" s="136" t="s">
        <v>133</v>
      </c>
      <c r="D12" s="139">
        <f>'User Interface'!C16</f>
        <v>0</v>
      </c>
      <c r="G12" s="254"/>
      <c r="H12" s="257"/>
      <c r="I12" s="257"/>
      <c r="J12" s="257"/>
    </row>
    <row r="13" spans="1:10" ht="12.75">
      <c r="A13" s="53"/>
      <c r="C13" s="136" t="s">
        <v>535</v>
      </c>
      <c r="D13" s="139">
        <f>'User Interface'!C17</f>
        <v>0</v>
      </c>
      <c r="G13" s="254"/>
      <c r="H13" s="257"/>
      <c r="I13" s="257"/>
      <c r="J13" s="257"/>
    </row>
    <row r="14" spans="1:10" ht="12.75">
      <c r="A14" s="53"/>
      <c r="G14" s="254"/>
      <c r="H14" s="257"/>
      <c r="I14" s="257"/>
      <c r="J14" s="257"/>
    </row>
    <row r="15" spans="1:10" ht="12.75">
      <c r="A15" s="53"/>
      <c r="B15" s="137" t="s">
        <v>539</v>
      </c>
      <c r="C15" s="137"/>
      <c r="D15" s="137"/>
      <c r="E15" s="137"/>
      <c r="F15" s="137"/>
      <c r="G15" s="254"/>
      <c r="H15" s="144"/>
      <c r="I15" s="144"/>
      <c r="J15" s="144"/>
    </row>
    <row r="16" spans="1:10" ht="12.75">
      <c r="A16" s="53"/>
      <c r="B16" s="107"/>
      <c r="C16" s="51" t="s">
        <v>206</v>
      </c>
      <c r="D16" s="52" t="s">
        <v>205</v>
      </c>
      <c r="G16" s="254"/>
      <c r="H16" s="257"/>
      <c r="I16" s="257"/>
      <c r="J16" s="257"/>
    </row>
    <row r="17" spans="1:10" ht="12.75">
      <c r="A17" s="53"/>
      <c r="C17" s="136" t="str">
        <f>Lists!Q6</f>
        <v>Detached house</v>
      </c>
      <c r="D17" s="139">
        <f>'User Interface'!C39</f>
        <v>0</v>
      </c>
      <c r="G17" s="254"/>
      <c r="H17" s="257"/>
      <c r="I17" s="257"/>
      <c r="J17" s="257"/>
    </row>
    <row r="18" spans="1:10" ht="12.75">
      <c r="A18" s="53"/>
      <c r="C18" s="136" t="str">
        <f>Lists!Q7</f>
        <v>Semi detached house (end terrace)</v>
      </c>
      <c r="D18" s="139">
        <f>'User Interface'!C40</f>
        <v>0</v>
      </c>
      <c r="G18" s="254"/>
      <c r="H18" s="257"/>
      <c r="I18" s="257"/>
      <c r="J18" s="257"/>
    </row>
    <row r="19" spans="1:10" ht="12.75">
      <c r="A19" s="53"/>
      <c r="C19" s="136" t="str">
        <f>Lists!Q8</f>
        <v>Terraced house</v>
      </c>
      <c r="D19" s="139">
        <f>'User Interface'!C41</f>
        <v>0</v>
      </c>
      <c r="G19" s="254"/>
      <c r="H19" s="257"/>
      <c r="I19" s="257"/>
      <c r="J19" s="257"/>
    </row>
    <row r="20" spans="1:10" ht="12.75">
      <c r="A20" s="53"/>
      <c r="C20" s="136" t="str">
        <f>Lists!Q9</f>
        <v>Flat</v>
      </c>
      <c r="D20" s="139">
        <f>SUM('User Interface'!C42:C42)</f>
        <v>0</v>
      </c>
      <c r="G20" s="254"/>
      <c r="H20" s="257"/>
      <c r="I20" s="257"/>
      <c r="J20" s="257"/>
    </row>
    <row r="21" spans="1:10" ht="12.75">
      <c r="A21" s="53"/>
      <c r="C21" s="136" t="s">
        <v>140</v>
      </c>
      <c r="D21" s="139">
        <f>'User Interface'!C43</f>
        <v>0</v>
      </c>
      <c r="G21" s="254"/>
      <c r="H21" s="257"/>
      <c r="I21" s="257"/>
      <c r="J21" s="257"/>
    </row>
    <row r="22" spans="1:10" ht="12.75">
      <c r="A22" s="53"/>
      <c r="G22" s="254"/>
      <c r="H22" s="257"/>
      <c r="I22" s="257"/>
      <c r="J22" s="257"/>
    </row>
    <row r="23" spans="1:10" ht="12.75">
      <c r="A23" s="53"/>
      <c r="C23" s="51" t="s">
        <v>146</v>
      </c>
      <c r="G23" s="254"/>
      <c r="H23" s="257"/>
      <c r="I23" s="257"/>
      <c r="J23" s="257"/>
    </row>
    <row r="24" spans="1:10" ht="12.75">
      <c r="A24" s="53"/>
      <c r="C24" s="51" t="s">
        <v>294</v>
      </c>
      <c r="G24" s="254"/>
      <c r="H24" s="257"/>
      <c r="I24" s="257"/>
      <c r="J24" s="257"/>
    </row>
    <row r="25" spans="1:10" ht="25.5">
      <c r="A25" s="53"/>
      <c r="C25" s="136" t="s">
        <v>154</v>
      </c>
      <c r="D25" s="138">
        <f>'User Interface'!C20</f>
        <v>0</v>
      </c>
      <c r="G25" s="254"/>
      <c r="H25" s="257">
        <f>IF(D25=0,0,IF(D25=LTHW,0,1))</f>
        <v>0</v>
      </c>
      <c r="I25" s="257">
        <f>IF(D25=0,0,IF(D25=LTHW,0,1))</f>
        <v>0</v>
      </c>
      <c r="J25" s="257"/>
    </row>
    <row r="26" spans="1:10" ht="12.75">
      <c r="A26" s="53"/>
      <c r="C26" s="136" t="s">
        <v>121</v>
      </c>
      <c r="D26" s="139">
        <f>'User Interface'!C49</f>
        <v>0</v>
      </c>
      <c r="G26" s="254"/>
      <c r="H26" s="257"/>
      <c r="I26" s="257">
        <f>IF(D26=0,0,IF(D26="Radiators",0,1))</f>
        <v>0</v>
      </c>
      <c r="J26" s="257"/>
    </row>
    <row r="27" spans="1:10" ht="12.75">
      <c r="A27" s="53"/>
      <c r="C27" s="136" t="s">
        <v>176</v>
      </c>
      <c r="D27" s="259">
        <f>IF(D26="Radiators",IF('User Interface'!C50&gt;0,'User Interface'!C50,IF(D21=0,0,(D17*Assumptions!D26+D18*Assumptions!D27+D19*Assumptions!D28+D20*Assumptions!D29)/D21)),0)</f>
        <v>0</v>
      </c>
      <c r="G27" s="254"/>
      <c r="H27" s="257"/>
      <c r="I27" s="257"/>
      <c r="J27" s="257"/>
    </row>
    <row r="28" spans="1:10" ht="25.5">
      <c r="A28" s="53"/>
      <c r="C28" s="136" t="s">
        <v>190</v>
      </c>
      <c r="D28" s="139">
        <f>'User Interface'!C51</f>
        <v>0</v>
      </c>
      <c r="G28" s="254"/>
      <c r="H28" s="257">
        <f>IF(D28=0,0,IF(D28=SP_ENTRY,0,1))</f>
        <v>0</v>
      </c>
      <c r="I28" s="257"/>
      <c r="J28" s="257"/>
    </row>
    <row r="29" spans="1:10" ht="12.75">
      <c r="A29" s="53"/>
      <c r="G29" s="254"/>
      <c r="H29" s="257"/>
      <c r="I29" s="257"/>
      <c r="J29" s="257"/>
    </row>
    <row r="30" spans="1:10" ht="12.75">
      <c r="A30" s="53"/>
      <c r="C30" s="51" t="s">
        <v>296</v>
      </c>
      <c r="G30" s="254"/>
      <c r="H30" s="257"/>
      <c r="I30" s="257"/>
      <c r="J30" s="257"/>
    </row>
    <row r="31" spans="1:10" ht="12.75">
      <c r="A31" s="53"/>
      <c r="C31" s="136" t="s">
        <v>234</v>
      </c>
      <c r="D31" s="139">
        <f>'User Interface'!C53</f>
        <v>0</v>
      </c>
      <c r="G31" s="254"/>
      <c r="H31" s="257"/>
      <c r="I31" s="257"/>
      <c r="J31" s="257"/>
    </row>
    <row r="32" spans="1:10" ht="12.75">
      <c r="A32" s="53"/>
      <c r="G32" s="254"/>
      <c r="H32" s="257"/>
      <c r="I32" s="257"/>
      <c r="J32" s="257"/>
    </row>
    <row r="33" spans="1:10" ht="12.75">
      <c r="A33" s="53"/>
      <c r="C33" s="51" t="s">
        <v>309</v>
      </c>
      <c r="G33" s="254"/>
      <c r="H33" s="257"/>
      <c r="I33" s="257"/>
      <c r="J33" s="257"/>
    </row>
    <row r="34" spans="1:10" ht="25.5">
      <c r="A34" s="53"/>
      <c r="C34" s="136" t="s">
        <v>177</v>
      </c>
      <c r="D34" s="139">
        <f>'User Interface'!C61</f>
        <v>0</v>
      </c>
      <c r="G34" s="254"/>
      <c r="H34" s="257"/>
      <c r="I34" s="257"/>
      <c r="J34" s="257"/>
    </row>
    <row r="35" spans="1:10" ht="38.25">
      <c r="A35" s="53"/>
      <c r="C35" s="136" t="s">
        <v>147</v>
      </c>
      <c r="D35" s="139">
        <f>'User Interface'!C60</f>
        <v>0</v>
      </c>
      <c r="G35" s="254"/>
      <c r="H35" s="257"/>
      <c r="I35" s="257"/>
      <c r="J35" s="257"/>
    </row>
    <row r="36" spans="1:10" ht="25.5">
      <c r="A36" s="53"/>
      <c r="C36" s="136" t="s">
        <v>201</v>
      </c>
      <c r="D36" s="139">
        <f>'User Interface'!C62</f>
        <v>0</v>
      </c>
      <c r="G36" s="254"/>
      <c r="H36" s="257"/>
      <c r="I36" s="257"/>
      <c r="J36" s="257"/>
    </row>
    <row r="37" spans="1:10" ht="12.75">
      <c r="A37" s="53"/>
      <c r="C37" s="129"/>
      <c r="D37" s="129"/>
      <c r="G37" s="254"/>
      <c r="H37" s="257"/>
      <c r="I37" s="257"/>
      <c r="J37" s="257"/>
    </row>
    <row r="38" spans="1:10" ht="12.75">
      <c r="A38" s="53"/>
      <c r="G38" s="254"/>
      <c r="H38" s="257"/>
      <c r="I38" s="257"/>
      <c r="J38" s="257"/>
    </row>
    <row r="39" spans="1:10" ht="12.75">
      <c r="A39" s="53"/>
      <c r="B39" s="137" t="s">
        <v>540</v>
      </c>
      <c r="C39" s="53"/>
      <c r="D39" s="130"/>
      <c r="E39" s="130"/>
      <c r="F39" s="254"/>
      <c r="G39" s="254"/>
      <c r="H39" s="260"/>
      <c r="I39" s="260"/>
      <c r="J39" s="260"/>
    </row>
    <row r="40" spans="1:10" ht="12.75">
      <c r="A40" s="53"/>
      <c r="C40" s="51" t="s">
        <v>207</v>
      </c>
      <c r="G40" s="254"/>
      <c r="H40" s="257"/>
      <c r="I40" s="257"/>
      <c r="J40" s="257"/>
    </row>
    <row r="41" spans="1:10" ht="12.75">
      <c r="A41" s="53"/>
      <c r="C41" s="51"/>
      <c r="G41" s="254"/>
      <c r="H41" s="257"/>
      <c r="I41" s="257"/>
      <c r="J41" s="257"/>
    </row>
    <row r="42" spans="1:11" s="263" customFormat="1" ht="12.75">
      <c r="A42" s="53"/>
      <c r="B42" s="148"/>
      <c r="C42" s="140" t="s">
        <v>256</v>
      </c>
      <c r="D42" s="141" t="s">
        <v>255</v>
      </c>
      <c r="E42" s="141" t="s">
        <v>257</v>
      </c>
      <c r="F42" s="261"/>
      <c r="G42" s="254"/>
      <c r="H42" s="262"/>
      <c r="I42" s="262"/>
      <c r="J42" s="262"/>
      <c r="K42" s="255"/>
    </row>
    <row r="43" spans="1:11" s="263" customFormat="1" ht="12.75">
      <c r="A43" s="53"/>
      <c r="B43" s="148"/>
      <c r="C43" s="264" t="str">
        <f>'User Interface'!B67</f>
        <v>General office, public waiting or circulation areas</v>
      </c>
      <c r="D43" s="265">
        <f>'User Interface'!C67</f>
        <v>0</v>
      </c>
      <c r="E43" s="265">
        <f>'User Interface'!D67</f>
        <v>0</v>
      </c>
      <c r="F43" s="261"/>
      <c r="G43" s="254"/>
      <c r="H43" s="262"/>
      <c r="I43" s="262"/>
      <c r="J43" s="262"/>
      <c r="K43" s="255"/>
    </row>
    <row r="44" spans="1:11" s="263" customFormat="1" ht="12.75">
      <c r="A44" s="53"/>
      <c r="B44" s="148"/>
      <c r="C44" s="264" t="str">
        <f>'User Interface'!B68</f>
        <v>High street agency</v>
      </c>
      <c r="D44" s="265">
        <f>'User Interface'!C68</f>
        <v>0</v>
      </c>
      <c r="E44" s="265">
        <f>'User Interface'!D68</f>
        <v>0</v>
      </c>
      <c r="F44" s="261"/>
      <c r="G44" s="254"/>
      <c r="H44" s="262"/>
      <c r="I44" s="262"/>
      <c r="J44" s="262"/>
      <c r="K44" s="255"/>
    </row>
    <row r="45" spans="1:11" s="263" customFormat="1" ht="12.75">
      <c r="A45" s="53"/>
      <c r="B45" s="148"/>
      <c r="C45" s="264" t="str">
        <f>'User Interface'!B69</f>
        <v>General retail</v>
      </c>
      <c r="D45" s="265">
        <f>'User Interface'!C69</f>
        <v>0</v>
      </c>
      <c r="E45" s="265">
        <f>'User Interface'!D69</f>
        <v>0</v>
      </c>
      <c r="F45" s="261"/>
      <c r="G45" s="254"/>
      <c r="H45" s="262"/>
      <c r="I45" s="262"/>
      <c r="J45" s="262"/>
      <c r="K45" s="255"/>
    </row>
    <row r="46" spans="1:11" s="263" customFormat="1" ht="12.75">
      <c r="A46" s="53"/>
      <c r="B46" s="148"/>
      <c r="C46" s="264" t="str">
        <f>'User Interface'!B70</f>
        <v>Large non-food shop</v>
      </c>
      <c r="D46" s="265">
        <f>'User Interface'!C70</f>
        <v>0</v>
      </c>
      <c r="E46" s="265">
        <f>'User Interface'!D70</f>
        <v>0</v>
      </c>
      <c r="F46" s="261"/>
      <c r="G46" s="254"/>
      <c r="H46" s="262"/>
      <c r="I46" s="262"/>
      <c r="J46" s="262"/>
      <c r="K46" s="255"/>
    </row>
    <row r="47" spans="1:11" s="263" customFormat="1" ht="12.75">
      <c r="A47" s="53"/>
      <c r="B47" s="148"/>
      <c r="C47" s="264" t="str">
        <f>'User Interface'!B71</f>
        <v>Small food store</v>
      </c>
      <c r="D47" s="265">
        <f>'User Interface'!C71</f>
        <v>0</v>
      </c>
      <c r="E47" s="265">
        <f>'User Interface'!D71</f>
        <v>0</v>
      </c>
      <c r="F47" s="261"/>
      <c r="G47" s="254"/>
      <c r="H47" s="262"/>
      <c r="I47" s="262"/>
      <c r="J47" s="262"/>
      <c r="K47" s="255"/>
    </row>
    <row r="48" spans="1:11" s="263" customFormat="1" ht="12.75">
      <c r="A48" s="53"/>
      <c r="B48" s="148"/>
      <c r="C48" s="264" t="str">
        <f>'User Interface'!B72</f>
        <v>Large food store and Public buildings with light usage</v>
      </c>
      <c r="D48" s="265">
        <f>'User Interface'!C72</f>
        <v>0</v>
      </c>
      <c r="E48" s="265">
        <f>'User Interface'!D72</f>
        <v>0</v>
      </c>
      <c r="F48" s="261"/>
      <c r="G48" s="254"/>
      <c r="H48" s="262"/>
      <c r="I48" s="262"/>
      <c r="J48" s="262"/>
      <c r="K48" s="255"/>
    </row>
    <row r="49" spans="1:11" s="263" customFormat="1" ht="12.75">
      <c r="A49" s="53"/>
      <c r="B49" s="148"/>
      <c r="C49" s="264" t="str">
        <f>'User Interface'!B73</f>
        <v>Restaurant</v>
      </c>
      <c r="D49" s="265">
        <f>'User Interface'!C73</f>
        <v>0</v>
      </c>
      <c r="E49" s="265">
        <f>'User Interface'!D73</f>
        <v>0</v>
      </c>
      <c r="F49" s="261"/>
      <c r="G49" s="254"/>
      <c r="H49" s="262"/>
      <c r="I49" s="262"/>
      <c r="J49" s="262"/>
      <c r="K49" s="255"/>
    </row>
    <row r="50" spans="1:11" s="263" customFormat="1" ht="12.75">
      <c r="A50" s="53"/>
      <c r="B50" s="148"/>
      <c r="C50" s="264" t="str">
        <f>'User Interface'!B74</f>
        <v>Bar, pub or licensed club</v>
      </c>
      <c r="D50" s="265">
        <f>'User Interface'!C74</f>
        <v>0</v>
      </c>
      <c r="E50" s="265">
        <f>'User Interface'!D74</f>
        <v>0</v>
      </c>
      <c r="F50" s="261"/>
      <c r="G50" s="254"/>
      <c r="H50" s="262"/>
      <c r="I50" s="262"/>
      <c r="J50" s="262"/>
      <c r="K50" s="255"/>
    </row>
    <row r="51" spans="1:11" s="263" customFormat="1" ht="12.75">
      <c r="A51" s="53"/>
      <c r="B51" s="148"/>
      <c r="C51" s="264" t="str">
        <f>'User Interface'!B75</f>
        <v>Hotel</v>
      </c>
      <c r="D51" s="265">
        <f>'User Interface'!C75</f>
        <v>0</v>
      </c>
      <c r="E51" s="265">
        <f>'User Interface'!D75</f>
        <v>0</v>
      </c>
      <c r="F51" s="261"/>
      <c r="G51" s="254"/>
      <c r="H51" s="262"/>
      <c r="I51" s="262"/>
      <c r="J51" s="262"/>
      <c r="K51" s="255"/>
    </row>
    <row r="52" spans="1:11" s="263" customFormat="1" ht="12.75">
      <c r="A52" s="53"/>
      <c r="B52" s="148"/>
      <c r="C52" s="264" t="str">
        <f>'User Interface'!B76</f>
        <v>Cultural activities, Clinics and Terminals</v>
      </c>
      <c r="D52" s="265">
        <f>'User Interface'!C76</f>
        <v>0</v>
      </c>
      <c r="E52" s="265">
        <f>'User Interface'!D76</f>
        <v>0</v>
      </c>
      <c r="F52" s="261"/>
      <c r="G52" s="254"/>
      <c r="H52" s="262"/>
      <c r="I52" s="262"/>
      <c r="J52" s="262"/>
      <c r="K52" s="255"/>
    </row>
    <row r="53" spans="1:11" s="263" customFormat="1" ht="12.75">
      <c r="A53" s="53"/>
      <c r="B53" s="148"/>
      <c r="C53" s="264" t="str">
        <f>'User Interface'!B77</f>
        <v>Entertainment halls, Hospital (clinical and research) and Long Term Residential buildings</v>
      </c>
      <c r="D53" s="265">
        <f>'User Interface'!C77</f>
        <v>0</v>
      </c>
      <c r="E53" s="265">
        <f>'User Interface'!D77</f>
        <v>0</v>
      </c>
      <c r="F53" s="261"/>
      <c r="G53" s="254"/>
      <c r="H53" s="262"/>
      <c r="I53" s="262"/>
      <c r="J53" s="262"/>
      <c r="K53" s="255"/>
    </row>
    <row r="54" spans="1:11" s="263" customFormat="1" ht="12.75">
      <c r="A54" s="53"/>
      <c r="B54" s="148"/>
      <c r="C54" s="264" t="str">
        <f>'User Interface'!B78</f>
        <v>Swimming pool centre</v>
      </c>
      <c r="D54" s="265">
        <f>'User Interface'!C78</f>
        <v>0</v>
      </c>
      <c r="E54" s="265">
        <f>'User Interface'!D78</f>
        <v>0</v>
      </c>
      <c r="F54" s="261"/>
      <c r="G54" s="254"/>
      <c r="H54" s="262"/>
      <c r="I54" s="262"/>
      <c r="J54" s="262"/>
      <c r="K54" s="255"/>
    </row>
    <row r="55" spans="1:11" s="263" customFormat="1" ht="12.75">
      <c r="A55" s="53"/>
      <c r="B55" s="148"/>
      <c r="C55" s="264" t="str">
        <f>'User Interface'!B79</f>
        <v>Fitness and health centre</v>
      </c>
      <c r="D55" s="265">
        <f>'User Interface'!C79</f>
        <v>0</v>
      </c>
      <c r="E55" s="265">
        <f>'User Interface'!D79</f>
        <v>0</v>
      </c>
      <c r="F55" s="261"/>
      <c r="G55" s="254"/>
      <c r="H55" s="262"/>
      <c r="I55" s="262"/>
      <c r="J55" s="262"/>
      <c r="K55" s="255"/>
    </row>
    <row r="56" spans="1:11" s="263" customFormat="1" ht="12.75">
      <c r="A56" s="53"/>
      <c r="B56" s="148"/>
      <c r="C56" s="264" t="str">
        <f>'User Interface'!B80</f>
        <v>Dry sports and leisure facility</v>
      </c>
      <c r="D56" s="265">
        <f>'User Interface'!C80</f>
        <v>0</v>
      </c>
      <c r="E56" s="265">
        <f>'User Interface'!D80</f>
        <v>0</v>
      </c>
      <c r="F56" s="261"/>
      <c r="G56" s="254"/>
      <c r="H56" s="262"/>
      <c r="I56" s="262"/>
      <c r="J56" s="262"/>
      <c r="K56" s="255"/>
    </row>
    <row r="57" spans="1:11" s="263" customFormat="1" ht="12.75">
      <c r="A57" s="53"/>
      <c r="B57" s="148"/>
      <c r="C57" s="264" t="str">
        <f>'User Interface'!B81</f>
        <v>Schools and seasonal public buildings</v>
      </c>
      <c r="D57" s="265">
        <f>'User Interface'!C81</f>
        <v>0</v>
      </c>
      <c r="E57" s="265">
        <f>'User Interface'!D81</f>
        <v>0</v>
      </c>
      <c r="F57" s="261"/>
      <c r="G57" s="254"/>
      <c r="H57" s="262"/>
      <c r="I57" s="262"/>
      <c r="J57" s="262"/>
      <c r="K57" s="255"/>
    </row>
    <row r="58" spans="1:11" s="263" customFormat="1" ht="12.75">
      <c r="A58" s="53"/>
      <c r="B58" s="148"/>
      <c r="C58" s="264" t="str">
        <f>'User Interface'!B82</f>
        <v>University campus</v>
      </c>
      <c r="D58" s="265">
        <f>'User Interface'!C82</f>
        <v>0</v>
      </c>
      <c r="E58" s="265">
        <f>'User Interface'!D82</f>
        <v>0</v>
      </c>
      <c r="F58" s="261"/>
      <c r="G58" s="254"/>
      <c r="H58" s="262"/>
      <c r="I58" s="262"/>
      <c r="J58" s="262"/>
      <c r="K58" s="255"/>
    </row>
    <row r="59" spans="1:11" s="263" customFormat="1" ht="12.75">
      <c r="A59" s="53"/>
      <c r="B59" s="148"/>
      <c r="C59" s="264" t="str">
        <f>'User Interface'!B83</f>
        <v>General accommodation</v>
      </c>
      <c r="D59" s="265">
        <f>'User Interface'!C83</f>
        <v>0</v>
      </c>
      <c r="E59" s="265">
        <f>'User Interface'!D83</f>
        <v>0</v>
      </c>
      <c r="F59" s="261"/>
      <c r="G59" s="254"/>
      <c r="H59" s="262"/>
      <c r="I59" s="262"/>
      <c r="J59" s="262"/>
      <c r="K59" s="255"/>
    </row>
    <row r="60" spans="1:11" s="263" customFormat="1" ht="12.75">
      <c r="A60" s="53"/>
      <c r="B60" s="148"/>
      <c r="C60" s="264" t="str">
        <f>'User Interface'!B84</f>
        <v>Emergency services</v>
      </c>
      <c r="D60" s="265">
        <f>'User Interface'!C84</f>
        <v>0</v>
      </c>
      <c r="E60" s="265">
        <f>'User Interface'!D84</f>
        <v>0</v>
      </c>
      <c r="F60" s="261"/>
      <c r="G60" s="254"/>
      <c r="H60" s="262"/>
      <c r="I60" s="262"/>
      <c r="J60" s="262"/>
      <c r="K60" s="255"/>
    </row>
    <row r="61" spans="1:11" s="263" customFormat="1" ht="12.75">
      <c r="A61" s="53"/>
      <c r="B61" s="148"/>
      <c r="C61" s="264" t="str">
        <f>'User Interface'!B85</f>
        <v>Laboratory or operating theatre</v>
      </c>
      <c r="D61" s="265">
        <f>'User Interface'!C85</f>
        <v>0</v>
      </c>
      <c r="E61" s="265">
        <f>'User Interface'!D85</f>
        <v>0</v>
      </c>
      <c r="F61" s="261"/>
      <c r="G61" s="254"/>
      <c r="H61" s="262"/>
      <c r="I61" s="262"/>
      <c r="J61" s="262"/>
      <c r="K61" s="255"/>
    </row>
    <row r="62" spans="1:11" s="263" customFormat="1" ht="12.75">
      <c r="A62" s="53"/>
      <c r="B62" s="148"/>
      <c r="C62" s="264" t="str">
        <f>'User Interface'!B86</f>
        <v>Workshop</v>
      </c>
      <c r="D62" s="265">
        <f>'User Interface'!C86</f>
        <v>0</v>
      </c>
      <c r="E62" s="265">
        <f>'User Interface'!D86</f>
        <v>0</v>
      </c>
      <c r="F62" s="261"/>
      <c r="G62" s="254"/>
      <c r="H62" s="262"/>
      <c r="I62" s="262"/>
      <c r="J62" s="262"/>
      <c r="K62" s="255"/>
    </row>
    <row r="63" spans="1:11" s="263" customFormat="1" ht="12.75">
      <c r="A63" s="53"/>
      <c r="B63" s="148"/>
      <c r="C63" s="264" t="str">
        <f>'User Interface'!B87</f>
        <v>Storage facility</v>
      </c>
      <c r="D63" s="265">
        <f>'User Interface'!C87</f>
        <v>0</v>
      </c>
      <c r="E63" s="265">
        <f>'User Interface'!D87</f>
        <v>0</v>
      </c>
      <c r="F63" s="261"/>
      <c r="G63" s="254"/>
      <c r="H63" s="262"/>
      <c r="I63" s="262"/>
      <c r="J63" s="262"/>
      <c r="K63" s="255"/>
    </row>
    <row r="64" spans="1:11" s="263" customFormat="1" ht="12.75">
      <c r="A64" s="53"/>
      <c r="B64" s="148"/>
      <c r="C64" s="264" t="str">
        <f>'User Interface'!B88</f>
        <v>Cold storage</v>
      </c>
      <c r="D64" s="265">
        <f>'User Interface'!C88</f>
        <v>0</v>
      </c>
      <c r="E64" s="265">
        <f>'User Interface'!D88</f>
        <v>0</v>
      </c>
      <c r="F64" s="261"/>
      <c r="G64" s="254"/>
      <c r="H64" s="262"/>
      <c r="I64" s="262"/>
      <c r="J64" s="262"/>
      <c r="K64" s="255"/>
    </row>
    <row r="65" spans="1:10" ht="12.75">
      <c r="A65" s="53"/>
      <c r="G65" s="254"/>
      <c r="H65" s="257"/>
      <c r="I65" s="257"/>
      <c r="J65" s="257"/>
    </row>
    <row r="66" spans="1:10" ht="12.75">
      <c r="A66" s="53"/>
      <c r="C66" s="51"/>
      <c r="G66" s="254"/>
      <c r="H66" s="257"/>
      <c r="I66" s="257"/>
      <c r="J66" s="257"/>
    </row>
    <row r="67" spans="1:10" ht="12.75">
      <c r="A67" s="53"/>
      <c r="C67" s="51" t="s">
        <v>146</v>
      </c>
      <c r="G67" s="254"/>
      <c r="H67" s="257"/>
      <c r="I67" s="257"/>
      <c r="J67" s="257"/>
    </row>
    <row r="68" spans="1:10" ht="12.75">
      <c r="A68" s="53"/>
      <c r="C68" s="51"/>
      <c r="G68" s="254"/>
      <c r="H68" s="257"/>
      <c r="I68" s="257"/>
      <c r="J68" s="257"/>
    </row>
    <row r="69" spans="1:10" ht="12.75">
      <c r="A69" s="53"/>
      <c r="C69" s="51" t="s">
        <v>294</v>
      </c>
      <c r="G69" s="254"/>
      <c r="H69" s="257"/>
      <c r="I69" s="257"/>
      <c r="J69" s="257"/>
    </row>
    <row r="70" spans="1:10" ht="25.5">
      <c r="A70" s="53"/>
      <c r="C70" s="136" t="s">
        <v>169</v>
      </c>
      <c r="D70" s="139">
        <f>'User Interface'!C22</f>
        <v>0</v>
      </c>
      <c r="G70" s="254"/>
      <c r="H70" s="257">
        <f>IF(D70=0,0,IF(D70=Lists!K12,0,1))</f>
        <v>0</v>
      </c>
      <c r="I70" s="257">
        <f>IF(D70=0,0,IF(D70=Lists!K12,0,1))</f>
        <v>0</v>
      </c>
      <c r="J70" s="257"/>
    </row>
    <row r="71" spans="1:10" ht="12.75">
      <c r="A71" s="53"/>
      <c r="C71" s="136" t="s">
        <v>121</v>
      </c>
      <c r="D71" s="139">
        <f>'User Interface'!C96</f>
        <v>0</v>
      </c>
      <c r="G71" s="254"/>
      <c r="H71" s="257"/>
      <c r="I71" s="257">
        <f>IF(D71=0,0,IF(D71="Radiators",0,1))</f>
        <v>0</v>
      </c>
      <c r="J71" s="257"/>
    </row>
    <row r="72" spans="1:10" ht="12.75">
      <c r="A72" s="53"/>
      <c r="C72" s="136" t="s">
        <v>174</v>
      </c>
      <c r="D72" s="266">
        <f>IF(D71="Radiators",'User Interface'!C97,0)</f>
        <v>0</v>
      </c>
      <c r="G72" s="254"/>
      <c r="H72" s="257"/>
      <c r="I72" s="257"/>
      <c r="J72" s="257"/>
    </row>
    <row r="73" spans="1:10" ht="12.75">
      <c r="A73" s="53"/>
      <c r="C73" s="136" t="s">
        <v>179</v>
      </c>
      <c r="D73" s="139">
        <f>'User Interface'!C29</f>
        <v>0</v>
      </c>
      <c r="G73" s="254"/>
      <c r="H73" s="257"/>
      <c r="I73" s="257"/>
      <c r="J73" s="257"/>
    </row>
    <row r="74" spans="1:10" ht="25.5">
      <c r="A74" s="53"/>
      <c r="C74" s="136" t="s">
        <v>193</v>
      </c>
      <c r="D74" s="139">
        <f>'User Interface'!C31</f>
        <v>0</v>
      </c>
      <c r="G74" s="254"/>
      <c r="H74" s="257">
        <f>IF(D74=0,0,IF(D74="Yes",1,0))</f>
        <v>0</v>
      </c>
      <c r="I74" s="257">
        <f>IF(D74=0,0,IF(D74="Yes",1,0))</f>
        <v>0</v>
      </c>
      <c r="J74" s="257"/>
    </row>
    <row r="75" spans="1:10" ht="25.5">
      <c r="A75" s="53"/>
      <c r="C75" s="136" t="s">
        <v>189</v>
      </c>
      <c r="D75" s="139">
        <f>'User Interface'!C98</f>
        <v>0</v>
      </c>
      <c r="G75" s="254"/>
      <c r="H75" s="257">
        <f>IF(D75=0,0,IF(D75=SP_ENTRY,0,1))</f>
        <v>0</v>
      </c>
      <c r="I75" s="257"/>
      <c r="J75" s="257"/>
    </row>
    <row r="76" spans="1:10" ht="12.75">
      <c r="A76" s="53"/>
      <c r="G76" s="254"/>
      <c r="H76" s="257"/>
      <c r="I76" s="257"/>
      <c r="J76" s="257"/>
    </row>
    <row r="77" spans="1:10" ht="12.75">
      <c r="A77" s="53"/>
      <c r="C77" s="51" t="s">
        <v>295</v>
      </c>
      <c r="G77" s="254"/>
      <c r="H77" s="257"/>
      <c r="I77" s="257"/>
      <c r="J77" s="257"/>
    </row>
    <row r="78" spans="1:10" ht="25.5">
      <c r="A78" s="53"/>
      <c r="C78" s="136" t="s">
        <v>297</v>
      </c>
      <c r="D78" s="139">
        <f>'User Interface'!C23</f>
        <v>0</v>
      </c>
      <c r="G78" s="254"/>
      <c r="H78" s="257"/>
      <c r="I78" s="257"/>
      <c r="J78" s="257">
        <f>IF(D78=0,0,IF(D78="No",1,0))</f>
        <v>0</v>
      </c>
    </row>
    <row r="79" spans="1:10" ht="25.5">
      <c r="A79" s="53"/>
      <c r="C79" s="136" t="s">
        <v>298</v>
      </c>
      <c r="D79" s="139">
        <f>'User Interface'!C25</f>
        <v>0</v>
      </c>
      <c r="G79" s="254"/>
      <c r="H79" s="257"/>
      <c r="I79" s="257"/>
      <c r="J79" s="257">
        <f>IF(D79=0,0,IF(D79=REFRIGERANT,1,0))</f>
        <v>0</v>
      </c>
    </row>
    <row r="80" spans="1:10" ht="12.75">
      <c r="A80" s="53"/>
      <c r="C80" s="136" t="s">
        <v>179</v>
      </c>
      <c r="D80" s="139">
        <f>'User Interface'!C29</f>
        <v>0</v>
      </c>
      <c r="G80" s="254"/>
      <c r="H80" s="257">
        <f>IF(D80=0,0,IF(D80="Air Conditioning",1,0))</f>
        <v>0</v>
      </c>
      <c r="I80" s="257">
        <f>IF(D80=0,0,IF(D80="Air Conditioning",1,0))</f>
        <v>0</v>
      </c>
      <c r="J80" s="257">
        <f>IF(D80=0,0,IF(D80="Air Conditioning",1,0))</f>
        <v>0</v>
      </c>
    </row>
    <row r="81" spans="1:10" ht="25.5">
      <c r="A81" s="53"/>
      <c r="C81" s="136" t="s">
        <v>306</v>
      </c>
      <c r="D81" s="139">
        <f>'User Interface'!C32</f>
        <v>0</v>
      </c>
      <c r="G81" s="254"/>
      <c r="H81" s="257"/>
      <c r="I81" s="257"/>
      <c r="J81" s="257">
        <f>IF(D81=0,0,IF(D81="Yes",1,0))</f>
        <v>0</v>
      </c>
    </row>
    <row r="82" spans="1:10" ht="25.5">
      <c r="A82" s="53"/>
      <c r="C82" s="136" t="s">
        <v>419</v>
      </c>
      <c r="D82" s="139">
        <f>'User Interface'!C27</f>
        <v>0</v>
      </c>
      <c r="G82" s="254"/>
      <c r="H82" s="257"/>
      <c r="I82" s="257"/>
      <c r="J82" s="257">
        <f>IF(D82=0,0,IF(D82&lt;&gt;SP_ENTRY,1,0))</f>
        <v>0</v>
      </c>
    </row>
    <row r="83" spans="1:10" ht="12.75">
      <c r="A83" s="53"/>
      <c r="G83" s="254"/>
      <c r="H83" s="257"/>
      <c r="I83" s="257"/>
      <c r="J83" s="257"/>
    </row>
    <row r="84" spans="1:10" ht="12.75">
      <c r="A84" s="53"/>
      <c r="C84" s="51" t="s">
        <v>296</v>
      </c>
      <c r="G84" s="254"/>
      <c r="H84" s="257"/>
      <c r="I84" s="257"/>
      <c r="J84" s="257"/>
    </row>
    <row r="85" spans="1:10" ht="25.5">
      <c r="A85" s="53"/>
      <c r="C85" s="136" t="s">
        <v>235</v>
      </c>
      <c r="D85" s="139">
        <f>'User Interface'!C100</f>
        <v>0</v>
      </c>
      <c r="E85" s="107"/>
      <c r="G85" s="254"/>
      <c r="H85" s="257"/>
      <c r="I85" s="257"/>
      <c r="J85" s="257"/>
    </row>
    <row r="86" spans="1:10" ht="12.75">
      <c r="A86" s="53"/>
      <c r="G86" s="254"/>
      <c r="H86" s="257"/>
      <c r="I86" s="257"/>
      <c r="J86" s="257"/>
    </row>
    <row r="87" spans="1:10" ht="12.75">
      <c r="A87" s="53"/>
      <c r="C87" s="51" t="s">
        <v>310</v>
      </c>
      <c r="G87" s="254"/>
      <c r="H87" s="257"/>
      <c r="I87" s="257"/>
      <c r="J87" s="257"/>
    </row>
    <row r="88" spans="1:10" ht="25.5">
      <c r="A88" s="53"/>
      <c r="C88" s="136" t="s">
        <v>192</v>
      </c>
      <c r="D88" s="139">
        <f>'User Interface'!C107</f>
        <v>0</v>
      </c>
      <c r="G88" s="254"/>
      <c r="H88" s="257"/>
      <c r="I88" s="257"/>
      <c r="J88" s="257"/>
    </row>
    <row r="89" spans="1:10" ht="38.25">
      <c r="A89" s="53"/>
      <c r="C89" s="136" t="s">
        <v>147</v>
      </c>
      <c r="D89" s="139">
        <f>'User Interface'!C108</f>
        <v>0</v>
      </c>
      <c r="G89" s="254"/>
      <c r="H89" s="257"/>
      <c r="I89" s="257"/>
      <c r="J89" s="257"/>
    </row>
    <row r="90" spans="1:10" ht="25.5">
      <c r="A90" s="53"/>
      <c r="C90" s="136" t="s">
        <v>201</v>
      </c>
      <c r="D90" s="139">
        <f>'User Interface'!C109</f>
        <v>0</v>
      </c>
      <c r="G90" s="254"/>
      <c r="H90" s="257"/>
      <c r="I90" s="257"/>
      <c r="J90" s="257"/>
    </row>
    <row r="91" spans="1:10" ht="12.75">
      <c r="A91" s="53"/>
      <c r="C91" s="129"/>
      <c r="D91" s="129"/>
      <c r="G91" s="254"/>
      <c r="H91" s="257"/>
      <c r="I91" s="257"/>
      <c r="J91" s="257"/>
    </row>
    <row r="92" spans="1:10" ht="12.75">
      <c r="A92" s="53"/>
      <c r="B92" s="255" t="s">
        <v>204</v>
      </c>
      <c r="C92" s="255"/>
      <c r="D92" s="255"/>
      <c r="E92" s="255"/>
      <c r="F92" s="255"/>
      <c r="G92" s="254"/>
      <c r="H92" s="267"/>
      <c r="I92" s="267"/>
      <c r="J92" s="267"/>
    </row>
    <row r="93" spans="1:10" ht="12.75">
      <c r="A93" s="53"/>
      <c r="G93" s="254"/>
      <c r="H93" s="257"/>
      <c r="I93" s="257"/>
      <c r="J93" s="257"/>
    </row>
    <row r="94" spans="1:10" ht="12.75">
      <c r="A94" s="53"/>
      <c r="B94" s="107"/>
      <c r="C94" s="131" t="s">
        <v>203</v>
      </c>
      <c r="G94" s="254"/>
      <c r="H94" s="257"/>
      <c r="I94" s="257"/>
      <c r="J94" s="257"/>
    </row>
    <row r="95" spans="1:10" ht="12.75">
      <c r="A95" s="53"/>
      <c r="C95" s="142" t="s">
        <v>546</v>
      </c>
      <c r="D95" s="143" t="e">
        <f>IF(CBA!C167&gt;=0,METER_YES,METER_NO)</f>
        <v>#N/A</v>
      </c>
      <c r="G95" s="254"/>
      <c r="H95" s="257"/>
      <c r="I95" s="257"/>
      <c r="J95" s="257"/>
    </row>
    <row r="96" spans="1:10" ht="12.75">
      <c r="A96" s="53"/>
      <c r="C96" s="142" t="s">
        <v>547</v>
      </c>
      <c r="D96" s="143" t="e">
        <f>IF(CBA!C172&gt;=0,HCA_YES,HCA_NO)</f>
        <v>#N/A</v>
      </c>
      <c r="G96" s="254"/>
      <c r="H96" s="257"/>
      <c r="I96" s="257"/>
      <c r="J96" s="257"/>
    </row>
    <row r="97" spans="1:10" ht="12.75">
      <c r="A97" s="53"/>
      <c r="C97" s="142" t="s">
        <v>548</v>
      </c>
      <c r="D97" s="143" t="e">
        <f>IF(CBA!C178&gt;=0,METER_YES,METER_NO)</f>
        <v>#N/A</v>
      </c>
      <c r="G97" s="254"/>
      <c r="H97" s="257"/>
      <c r="I97" s="257"/>
      <c r="J97" s="257"/>
    </row>
    <row r="98" spans="1:10" ht="12.75">
      <c r="A98" s="53"/>
      <c r="C98" s="142" t="s">
        <v>549</v>
      </c>
      <c r="D98" s="143" t="e">
        <f>IF(CBA!C183&gt;=0,HCA_YES,HCA_NO)</f>
        <v>#N/A</v>
      </c>
      <c r="G98" s="254"/>
      <c r="H98" s="257"/>
      <c r="I98" s="257"/>
      <c r="J98" s="257"/>
    </row>
    <row r="99" spans="1:10" ht="12.75">
      <c r="A99" s="53"/>
      <c r="C99" s="142" t="s">
        <v>550</v>
      </c>
      <c r="D99" s="143" t="e">
        <f>IF(CBA!C188&gt;=0,COOL_METER_YES,COOL_METER_NO)</f>
        <v>#DIV/0!</v>
      </c>
      <c r="G99" s="254"/>
      <c r="H99" s="257"/>
      <c r="I99" s="257"/>
      <c r="J99" s="257"/>
    </row>
    <row r="100" spans="1:10" ht="12.75">
      <c r="A100" s="53"/>
      <c r="C100" s="142" t="s">
        <v>551</v>
      </c>
      <c r="D100" s="143" t="e">
        <f>IF(CBA!C194&gt;=0,METER_YES,METER_NO)</f>
        <v>#N/A</v>
      </c>
      <c r="G100" s="254"/>
      <c r="H100" s="257"/>
      <c r="I100" s="257"/>
      <c r="J100" s="257"/>
    </row>
    <row r="101" spans="1:10" ht="12.75">
      <c r="A101" s="53"/>
      <c r="C101" s="142" t="s">
        <v>552</v>
      </c>
      <c r="D101" s="143" t="e">
        <f>IF(CBA!C199&gt;=0,HCA_YES,HCA_NO)</f>
        <v>#N/A</v>
      </c>
      <c r="G101" s="254"/>
      <c r="H101" s="257"/>
      <c r="I101" s="257"/>
      <c r="J101" s="257"/>
    </row>
    <row r="102" spans="1:10" ht="12.75">
      <c r="A102" s="53"/>
      <c r="G102" s="254"/>
      <c r="H102" s="257"/>
      <c r="I102" s="257"/>
      <c r="J102" s="257"/>
    </row>
    <row r="103" spans="1:10" ht="12.75">
      <c r="A103" s="53"/>
      <c r="D103" s="128"/>
      <c r="G103" s="254"/>
      <c r="H103" s="257"/>
      <c r="I103" s="257"/>
      <c r="J103" s="257"/>
    </row>
    <row r="104" spans="1:10" ht="12.75">
      <c r="A104" s="53"/>
      <c r="C104" s="132"/>
      <c r="G104" s="254"/>
      <c r="H104" s="257"/>
      <c r="I104" s="257"/>
      <c r="J104" s="257"/>
    </row>
    <row r="105" spans="1:10" ht="51">
      <c r="A105" s="53"/>
      <c r="C105" s="132"/>
      <c r="F105" s="127"/>
      <c r="G105" s="254"/>
      <c r="H105" s="268" t="str">
        <f>H5</f>
        <v>Heat meter viability flag</v>
      </c>
      <c r="I105" s="268" t="str">
        <f>I5</f>
        <v>Heating HCA flag</v>
      </c>
      <c r="J105" s="268" t="str">
        <f>J5</f>
        <v>Cool meter viability flag</v>
      </c>
    </row>
    <row r="106" spans="1:10" ht="12.75">
      <c r="A106" s="53"/>
      <c r="F106" s="146" t="s">
        <v>52</v>
      </c>
      <c r="G106" s="254"/>
      <c r="H106" s="260">
        <f>SUM(H8:H38)</f>
        <v>0</v>
      </c>
      <c r="I106" s="260">
        <f>SUM(I16:I38)</f>
        <v>0</v>
      </c>
      <c r="J106" s="260"/>
    </row>
    <row r="107" spans="1:10" ht="12.75">
      <c r="A107" s="53"/>
      <c r="B107" s="148"/>
      <c r="C107" s="148"/>
      <c r="D107" s="148"/>
      <c r="E107" s="148"/>
      <c r="F107" s="146" t="s">
        <v>53</v>
      </c>
      <c r="G107" s="254"/>
      <c r="H107" s="269">
        <f>SUM(H40:H91)</f>
        <v>0</v>
      </c>
      <c r="I107" s="269">
        <f>SUM(I40:I91)</f>
        <v>0</v>
      </c>
      <c r="J107" s="269">
        <f>SUM(J40:J91)</f>
        <v>0</v>
      </c>
    </row>
    <row r="108" spans="1:10" ht="12.75">
      <c r="A108" s="53"/>
      <c r="B108" s="53"/>
      <c r="C108" s="53"/>
      <c r="D108" s="53"/>
      <c r="E108" s="53"/>
      <c r="F108" s="53"/>
      <c r="G108" s="254"/>
      <c r="H108" s="254"/>
      <c r="I108" s="254"/>
      <c r="J108" s="254"/>
    </row>
    <row r="109" spans="2:11" ht="12.75" hidden="1">
      <c r="B109" s="133"/>
      <c r="C109" s="133" t="s">
        <v>172</v>
      </c>
      <c r="D109" s="270"/>
      <c r="E109" s="270"/>
      <c r="F109" s="271"/>
      <c r="G109" s="271"/>
      <c r="H109" s="271"/>
      <c r="I109" s="271"/>
      <c r="J109" s="271"/>
      <c r="K109" s="108"/>
    </row>
    <row r="110" spans="2:11" ht="12.75" hidden="1">
      <c r="B110" s="133"/>
      <c r="C110" s="134"/>
      <c r="D110" s="134" t="s">
        <v>173</v>
      </c>
      <c r="E110" s="270"/>
      <c r="F110" s="271"/>
      <c r="G110" s="271"/>
      <c r="H110" s="271"/>
      <c r="I110" s="271"/>
      <c r="J110" s="271"/>
      <c r="K110" s="108"/>
    </row>
    <row r="111" spans="2:11" ht="12.75" hidden="1">
      <c r="B111" s="133"/>
      <c r="C111" s="134" t="str">
        <f aca="true" t="shared" si="0" ref="C111:D114">C17</f>
        <v>Detached house</v>
      </c>
      <c r="D111" s="134">
        <f t="shared" si="0"/>
        <v>0</v>
      </c>
      <c r="E111" s="270"/>
      <c r="F111" s="271"/>
      <c r="G111" s="271"/>
      <c r="H111" s="271"/>
      <c r="I111" s="271"/>
      <c r="J111" s="271"/>
      <c r="K111" s="108"/>
    </row>
    <row r="112" spans="2:11" ht="12.75" hidden="1">
      <c r="B112" s="133"/>
      <c r="C112" s="134" t="str">
        <f t="shared" si="0"/>
        <v>Semi detached house (end terrace)</v>
      </c>
      <c r="D112" s="134">
        <f t="shared" si="0"/>
        <v>0</v>
      </c>
      <c r="E112" s="270"/>
      <c r="F112" s="271"/>
      <c r="G112" s="271"/>
      <c r="H112" s="271"/>
      <c r="I112" s="271"/>
      <c r="J112" s="271"/>
      <c r="K112" s="108"/>
    </row>
    <row r="113" spans="2:11" ht="12.75" hidden="1">
      <c r="B113" s="133"/>
      <c r="C113" s="134" t="str">
        <f t="shared" si="0"/>
        <v>Terraced house</v>
      </c>
      <c r="D113" s="134">
        <f t="shared" si="0"/>
        <v>0</v>
      </c>
      <c r="E113" s="270"/>
      <c r="F113" s="271"/>
      <c r="G113" s="271"/>
      <c r="H113" s="271"/>
      <c r="I113" s="271"/>
      <c r="J113" s="271"/>
      <c r="K113" s="108"/>
    </row>
    <row r="114" spans="2:11" ht="12.75" hidden="1">
      <c r="B114" s="133"/>
      <c r="C114" s="134" t="str">
        <f t="shared" si="0"/>
        <v>Flat</v>
      </c>
      <c r="D114" s="134">
        <f t="shared" si="0"/>
        <v>0</v>
      </c>
      <c r="E114" s="270"/>
      <c r="F114" s="271"/>
      <c r="G114" s="271"/>
      <c r="H114" s="271"/>
      <c r="I114" s="271"/>
      <c r="J114" s="271"/>
      <c r="K114" s="108"/>
    </row>
    <row r="115" spans="2:11" ht="12.75" hidden="1">
      <c r="B115" s="133"/>
      <c r="C115" s="134" t="s">
        <v>140</v>
      </c>
      <c r="D115" s="134">
        <f>SUM(D111:D114)</f>
        <v>0</v>
      </c>
      <c r="E115" s="270"/>
      <c r="F115" s="271"/>
      <c r="G115" s="271"/>
      <c r="H115" s="271"/>
      <c r="I115" s="271"/>
      <c r="J115" s="271"/>
      <c r="K115" s="108"/>
    </row>
    <row r="116" spans="2:11" ht="12.75" hidden="1">
      <c r="B116" s="133"/>
      <c r="C116" s="134" t="s">
        <v>184</v>
      </c>
      <c r="D116" s="134">
        <f>D115*D27</f>
        <v>0</v>
      </c>
      <c r="E116" s="270"/>
      <c r="F116" s="271"/>
      <c r="G116" s="271"/>
      <c r="H116" s="271"/>
      <c r="I116" s="271"/>
      <c r="J116" s="271"/>
      <c r="K116" s="108"/>
    </row>
    <row r="117" spans="2:11" ht="12.75" hidden="1">
      <c r="B117" s="133"/>
      <c r="C117" s="134" t="s">
        <v>534</v>
      </c>
      <c r="D117" s="135">
        <f>D31</f>
        <v>0</v>
      </c>
      <c r="E117" s="134" t="s">
        <v>293</v>
      </c>
      <c r="F117" s="271"/>
      <c r="G117" s="271"/>
      <c r="H117" s="271"/>
      <c r="I117" s="271"/>
      <c r="J117" s="271"/>
      <c r="K117" s="108"/>
    </row>
    <row r="118" spans="2:11" ht="12.75" hidden="1">
      <c r="B118" s="134"/>
      <c r="C118" s="134" t="s">
        <v>175</v>
      </c>
      <c r="D118" s="134" t="s">
        <v>183</v>
      </c>
      <c r="E118" s="270"/>
      <c r="F118" s="271"/>
      <c r="G118" s="271"/>
      <c r="H118" s="271"/>
      <c r="I118" s="271"/>
      <c r="J118" s="271"/>
      <c r="K118" s="108"/>
    </row>
    <row r="119" spans="2:11" ht="12.75" hidden="1">
      <c r="B119" s="133"/>
      <c r="C119" s="108" t="s">
        <v>6</v>
      </c>
      <c r="D119" s="272">
        <f aca="true" t="shared" si="1" ref="D119:D132">D43</f>
        <v>0</v>
      </c>
      <c r="E119" s="270"/>
      <c r="F119" s="271"/>
      <c r="G119" s="271"/>
      <c r="H119" s="271"/>
      <c r="I119" s="271"/>
      <c r="J119" s="271"/>
      <c r="K119" s="108"/>
    </row>
    <row r="120" spans="2:11" ht="12.75" hidden="1">
      <c r="B120" s="133"/>
      <c r="C120" s="108" t="s">
        <v>7</v>
      </c>
      <c r="D120" s="272">
        <f t="shared" si="1"/>
        <v>0</v>
      </c>
      <c r="E120" s="270"/>
      <c r="F120" s="271"/>
      <c r="G120" s="271"/>
      <c r="H120" s="271"/>
      <c r="I120" s="271"/>
      <c r="J120" s="271"/>
      <c r="K120" s="108"/>
    </row>
    <row r="121" spans="2:11" ht="12.75" hidden="1">
      <c r="B121" s="133"/>
      <c r="C121" s="108" t="s">
        <v>8</v>
      </c>
      <c r="D121" s="272">
        <f t="shared" si="1"/>
        <v>0</v>
      </c>
      <c r="E121" s="270"/>
      <c r="F121" s="271"/>
      <c r="G121" s="271"/>
      <c r="H121" s="271"/>
      <c r="I121" s="271"/>
      <c r="J121" s="271"/>
      <c r="K121" s="108"/>
    </row>
    <row r="122" spans="2:11" ht="12.75" hidden="1">
      <c r="B122" s="133"/>
      <c r="C122" s="108" t="s">
        <v>9</v>
      </c>
      <c r="D122" s="272">
        <f t="shared" si="1"/>
        <v>0</v>
      </c>
      <c r="E122" s="270"/>
      <c r="F122" s="271"/>
      <c r="G122" s="271"/>
      <c r="H122" s="271"/>
      <c r="I122" s="271"/>
      <c r="J122" s="271"/>
      <c r="K122" s="108"/>
    </row>
    <row r="123" spans="2:11" ht="12.75" hidden="1">
      <c r="B123" s="133"/>
      <c r="C123" s="108" t="s">
        <v>10</v>
      </c>
      <c r="D123" s="272">
        <f t="shared" si="1"/>
        <v>0</v>
      </c>
      <c r="E123" s="270"/>
      <c r="F123" s="271"/>
      <c r="G123" s="271"/>
      <c r="H123" s="271"/>
      <c r="I123" s="271"/>
      <c r="J123" s="271"/>
      <c r="K123" s="108"/>
    </row>
    <row r="124" spans="2:11" ht="12.75" hidden="1">
      <c r="B124" s="133"/>
      <c r="C124" s="108" t="s">
        <v>11</v>
      </c>
      <c r="D124" s="272">
        <f t="shared" si="1"/>
        <v>0</v>
      </c>
      <c r="E124" s="270"/>
      <c r="F124" s="271"/>
      <c r="G124" s="271"/>
      <c r="H124" s="271"/>
      <c r="I124" s="271"/>
      <c r="J124" s="271"/>
      <c r="K124" s="108"/>
    </row>
    <row r="125" spans="2:11" ht="12.75" hidden="1">
      <c r="B125" s="133"/>
      <c r="C125" s="108" t="s">
        <v>12</v>
      </c>
      <c r="D125" s="272">
        <f t="shared" si="1"/>
        <v>0</v>
      </c>
      <c r="E125" s="270"/>
      <c r="F125" s="271"/>
      <c r="G125" s="271"/>
      <c r="H125" s="271"/>
      <c r="I125" s="271"/>
      <c r="J125" s="271"/>
      <c r="K125" s="108"/>
    </row>
    <row r="126" spans="2:11" ht="12.75" hidden="1">
      <c r="B126" s="133"/>
      <c r="C126" s="108" t="s">
        <v>13</v>
      </c>
      <c r="D126" s="272">
        <f t="shared" si="1"/>
        <v>0</v>
      </c>
      <c r="E126" s="270"/>
      <c r="F126" s="271"/>
      <c r="G126" s="271"/>
      <c r="H126" s="271"/>
      <c r="I126" s="271"/>
      <c r="J126" s="271"/>
      <c r="K126" s="108"/>
    </row>
    <row r="127" spans="2:11" ht="12.75" hidden="1">
      <c r="B127" s="133"/>
      <c r="C127" s="108" t="s">
        <v>14</v>
      </c>
      <c r="D127" s="272">
        <f t="shared" si="1"/>
        <v>0</v>
      </c>
      <c r="E127" s="270"/>
      <c r="F127" s="271"/>
      <c r="G127" s="271"/>
      <c r="H127" s="271"/>
      <c r="I127" s="271"/>
      <c r="J127" s="271"/>
      <c r="K127" s="108"/>
    </row>
    <row r="128" spans="2:11" ht="12.75" hidden="1">
      <c r="B128" s="133"/>
      <c r="C128" s="108" t="s">
        <v>200</v>
      </c>
      <c r="D128" s="272">
        <f t="shared" si="1"/>
        <v>0</v>
      </c>
      <c r="E128" s="270"/>
      <c r="F128" s="271"/>
      <c r="G128" s="271"/>
      <c r="H128" s="271"/>
      <c r="I128" s="271"/>
      <c r="J128" s="271"/>
      <c r="K128" s="108"/>
    </row>
    <row r="129" spans="2:11" ht="12.75" hidden="1">
      <c r="B129" s="133"/>
      <c r="C129" s="108" t="s">
        <v>15</v>
      </c>
      <c r="D129" s="272">
        <f t="shared" si="1"/>
        <v>0</v>
      </c>
      <c r="E129" s="270"/>
      <c r="F129" s="271"/>
      <c r="G129" s="271"/>
      <c r="H129" s="271"/>
      <c r="I129" s="271"/>
      <c r="J129" s="271"/>
      <c r="K129" s="108"/>
    </row>
    <row r="130" spans="2:11" ht="12.75" hidden="1">
      <c r="B130" s="133"/>
      <c r="C130" s="108" t="s">
        <v>16</v>
      </c>
      <c r="D130" s="272">
        <f t="shared" si="1"/>
        <v>0</v>
      </c>
      <c r="E130" s="270"/>
      <c r="F130" s="271"/>
      <c r="G130" s="271"/>
      <c r="H130" s="271"/>
      <c r="I130" s="271"/>
      <c r="J130" s="271"/>
      <c r="K130" s="108"/>
    </row>
    <row r="131" spans="2:11" ht="12.75" hidden="1">
      <c r="B131" s="133"/>
      <c r="C131" s="108" t="s">
        <v>17</v>
      </c>
      <c r="D131" s="272">
        <f t="shared" si="1"/>
        <v>0</v>
      </c>
      <c r="E131" s="270"/>
      <c r="F131" s="271"/>
      <c r="G131" s="271"/>
      <c r="H131" s="271"/>
      <c r="I131" s="271"/>
      <c r="J131" s="271"/>
      <c r="K131" s="108"/>
    </row>
    <row r="132" spans="2:11" ht="12.75" hidden="1">
      <c r="B132" s="133"/>
      <c r="C132" s="108" t="s">
        <v>18</v>
      </c>
      <c r="D132" s="272">
        <f t="shared" si="1"/>
        <v>0</v>
      </c>
      <c r="E132" s="270"/>
      <c r="F132" s="271"/>
      <c r="G132" s="271"/>
      <c r="H132" s="271"/>
      <c r="I132" s="271"/>
      <c r="J132" s="271"/>
      <c r="K132" s="108"/>
    </row>
    <row r="133" spans="2:11" ht="12.75" hidden="1">
      <c r="B133" s="133"/>
      <c r="C133" s="108" t="s">
        <v>20</v>
      </c>
      <c r="D133" s="272" t="e">
        <f>#REF!</f>
        <v>#REF!</v>
      </c>
      <c r="E133" s="270"/>
      <c r="F133" s="271"/>
      <c r="G133" s="271"/>
      <c r="H133" s="271"/>
      <c r="I133" s="271"/>
      <c r="J133" s="271"/>
      <c r="K133" s="108"/>
    </row>
    <row r="134" spans="2:11" ht="12.75" hidden="1">
      <c r="B134" s="133"/>
      <c r="C134" s="108" t="s">
        <v>21</v>
      </c>
      <c r="D134" s="272">
        <f>D57</f>
        <v>0</v>
      </c>
      <c r="E134" s="270"/>
      <c r="F134" s="271"/>
      <c r="G134" s="271"/>
      <c r="H134" s="271"/>
      <c r="I134" s="271"/>
      <c r="J134" s="271"/>
      <c r="K134" s="108"/>
    </row>
    <row r="135" spans="2:11" ht="12.75" hidden="1">
      <c r="B135" s="133"/>
      <c r="C135" s="108" t="s">
        <v>22</v>
      </c>
      <c r="D135" s="272">
        <f>D58</f>
        <v>0</v>
      </c>
      <c r="E135" s="270"/>
      <c r="F135" s="271"/>
      <c r="G135" s="271"/>
      <c r="H135" s="271"/>
      <c r="I135" s="271"/>
      <c r="J135" s="271"/>
      <c r="K135" s="108"/>
    </row>
    <row r="136" spans="2:11" ht="12.75" hidden="1">
      <c r="B136" s="133"/>
      <c r="C136" s="108" t="s">
        <v>23</v>
      </c>
      <c r="D136" s="272" t="e">
        <f>#REF!</f>
        <v>#REF!</v>
      </c>
      <c r="E136" s="270"/>
      <c r="F136" s="271"/>
      <c r="G136" s="271"/>
      <c r="H136" s="271"/>
      <c r="I136" s="271"/>
      <c r="J136" s="271"/>
      <c r="K136" s="108"/>
    </row>
    <row r="137" spans="2:11" ht="12.75" hidden="1">
      <c r="B137" s="133"/>
      <c r="C137" s="108" t="s">
        <v>24</v>
      </c>
      <c r="D137" s="272" t="e">
        <f>#REF!</f>
        <v>#REF!</v>
      </c>
      <c r="E137" s="270"/>
      <c r="F137" s="271"/>
      <c r="G137" s="271"/>
      <c r="H137" s="271"/>
      <c r="I137" s="271"/>
      <c r="J137" s="271"/>
      <c r="K137" s="108"/>
    </row>
    <row r="138" spans="2:11" ht="12.75" hidden="1">
      <c r="B138" s="133"/>
      <c r="C138" s="108" t="s">
        <v>25</v>
      </c>
      <c r="D138" s="272" t="e">
        <f>#REF!</f>
        <v>#REF!</v>
      </c>
      <c r="E138" s="270"/>
      <c r="F138" s="271"/>
      <c r="G138" s="271"/>
      <c r="H138" s="271"/>
      <c r="I138" s="271"/>
      <c r="J138" s="271"/>
      <c r="K138" s="108"/>
    </row>
    <row r="139" spans="2:11" ht="12.75" hidden="1">
      <c r="B139" s="133"/>
      <c r="C139" s="108" t="s">
        <v>26</v>
      </c>
      <c r="D139" s="272">
        <f>D59</f>
        <v>0</v>
      </c>
      <c r="E139" s="270"/>
      <c r="F139" s="271"/>
      <c r="G139" s="271"/>
      <c r="H139" s="271"/>
      <c r="I139" s="271"/>
      <c r="J139" s="271"/>
      <c r="K139" s="108"/>
    </row>
    <row r="140" spans="2:11" ht="12.75" hidden="1">
      <c r="B140" s="133"/>
      <c r="C140" s="108" t="s">
        <v>27</v>
      </c>
      <c r="D140" s="272">
        <f>D60</f>
        <v>0</v>
      </c>
      <c r="E140" s="270"/>
      <c r="F140" s="271"/>
      <c r="G140" s="271"/>
      <c r="H140" s="271"/>
      <c r="I140" s="271"/>
      <c r="J140" s="271"/>
      <c r="K140" s="108"/>
    </row>
    <row r="141" spans="2:11" ht="12.75" hidden="1">
      <c r="B141" s="133"/>
      <c r="C141" s="108" t="s">
        <v>28</v>
      </c>
      <c r="D141" s="272">
        <f>D61</f>
        <v>0</v>
      </c>
      <c r="E141" s="270"/>
      <c r="F141" s="271"/>
      <c r="G141" s="271"/>
      <c r="H141" s="271"/>
      <c r="I141" s="271"/>
      <c r="J141" s="271"/>
      <c r="K141" s="108"/>
    </row>
    <row r="142" spans="2:11" ht="12.75" hidden="1">
      <c r="B142" s="133"/>
      <c r="C142" s="108" t="s">
        <v>29</v>
      </c>
      <c r="D142" s="272" t="e">
        <f>#REF!</f>
        <v>#REF!</v>
      </c>
      <c r="E142" s="270"/>
      <c r="F142" s="271"/>
      <c r="G142" s="271"/>
      <c r="H142" s="271"/>
      <c r="I142" s="271"/>
      <c r="J142" s="271"/>
      <c r="K142" s="108"/>
    </row>
    <row r="143" spans="2:11" ht="12.75" hidden="1">
      <c r="B143" s="133"/>
      <c r="C143" s="108" t="s">
        <v>30</v>
      </c>
      <c r="D143" s="272" t="e">
        <f>#REF!</f>
        <v>#REF!</v>
      </c>
      <c r="E143" s="270"/>
      <c r="F143" s="271"/>
      <c r="G143" s="271"/>
      <c r="H143" s="271"/>
      <c r="I143" s="271"/>
      <c r="J143" s="271"/>
      <c r="K143" s="108"/>
    </row>
    <row r="144" spans="2:11" ht="12.75" hidden="1">
      <c r="B144" s="133"/>
      <c r="C144" s="108" t="s">
        <v>31</v>
      </c>
      <c r="D144" s="272">
        <f>D62</f>
        <v>0</v>
      </c>
      <c r="E144" s="270"/>
      <c r="F144" s="271"/>
      <c r="G144" s="271"/>
      <c r="H144" s="271"/>
      <c r="I144" s="271"/>
      <c r="J144" s="271"/>
      <c r="K144" s="108"/>
    </row>
    <row r="145" spans="2:11" ht="12.75" hidden="1">
      <c r="B145" s="133"/>
      <c r="C145" s="108" t="s">
        <v>32</v>
      </c>
      <c r="D145" s="272">
        <f>D63</f>
        <v>0</v>
      </c>
      <c r="E145" s="270"/>
      <c r="F145" s="271"/>
      <c r="G145" s="271"/>
      <c r="H145" s="271"/>
      <c r="I145" s="271"/>
      <c r="J145" s="271"/>
      <c r="K145" s="108"/>
    </row>
    <row r="146" spans="2:11" ht="12.75" hidden="1">
      <c r="B146" s="133"/>
      <c r="C146" s="108" t="s">
        <v>33</v>
      </c>
      <c r="D146" s="272">
        <f>D64</f>
        <v>0</v>
      </c>
      <c r="E146" s="270"/>
      <c r="F146" s="271"/>
      <c r="G146" s="271"/>
      <c r="H146" s="271"/>
      <c r="I146" s="271"/>
      <c r="J146" s="271"/>
      <c r="K146" s="108"/>
    </row>
    <row r="147" spans="2:11" ht="12.75" hidden="1">
      <c r="B147" s="133"/>
      <c r="C147" s="270" t="s">
        <v>175</v>
      </c>
      <c r="D147" s="134" t="s">
        <v>118</v>
      </c>
      <c r="E147" s="270"/>
      <c r="F147" s="271"/>
      <c r="G147" s="271"/>
      <c r="H147" s="271"/>
      <c r="I147" s="271"/>
      <c r="J147" s="271"/>
      <c r="K147" s="108"/>
    </row>
    <row r="148" spans="2:11" ht="12.75" hidden="1">
      <c r="B148" s="133"/>
      <c r="C148" s="108" t="s">
        <v>6</v>
      </c>
      <c r="D148" s="272">
        <f aca="true" t="shared" si="2" ref="D148:D161">E43</f>
        <v>0</v>
      </c>
      <c r="E148" s="270"/>
      <c r="F148" s="271"/>
      <c r="G148" s="271"/>
      <c r="H148" s="271"/>
      <c r="I148" s="271"/>
      <c r="J148" s="271"/>
      <c r="K148" s="108"/>
    </row>
    <row r="149" spans="2:11" ht="12.75" hidden="1">
      <c r="B149" s="133"/>
      <c r="C149" s="108" t="s">
        <v>7</v>
      </c>
      <c r="D149" s="272">
        <f t="shared" si="2"/>
        <v>0</v>
      </c>
      <c r="E149" s="270"/>
      <c r="F149" s="271"/>
      <c r="G149" s="271"/>
      <c r="H149" s="271"/>
      <c r="I149" s="271"/>
      <c r="J149" s="271"/>
      <c r="K149" s="108"/>
    </row>
    <row r="150" spans="2:11" ht="12.75" hidden="1">
      <c r="B150" s="133"/>
      <c r="C150" s="108" t="s">
        <v>8</v>
      </c>
      <c r="D150" s="272">
        <f t="shared" si="2"/>
        <v>0</v>
      </c>
      <c r="E150" s="270"/>
      <c r="F150" s="271"/>
      <c r="G150" s="271"/>
      <c r="H150" s="271"/>
      <c r="I150" s="271"/>
      <c r="J150" s="271"/>
      <c r="K150" s="108"/>
    </row>
    <row r="151" spans="2:11" ht="12.75" hidden="1">
      <c r="B151" s="133"/>
      <c r="C151" s="108" t="s">
        <v>9</v>
      </c>
      <c r="D151" s="272">
        <f t="shared" si="2"/>
        <v>0</v>
      </c>
      <c r="E151" s="270"/>
      <c r="F151" s="271"/>
      <c r="G151" s="271"/>
      <c r="H151" s="271"/>
      <c r="I151" s="271"/>
      <c r="J151" s="271"/>
      <c r="K151" s="108"/>
    </row>
    <row r="152" spans="2:11" ht="12.75" hidden="1">
      <c r="B152" s="133"/>
      <c r="C152" s="108" t="s">
        <v>10</v>
      </c>
      <c r="D152" s="272">
        <f t="shared" si="2"/>
        <v>0</v>
      </c>
      <c r="E152" s="270"/>
      <c r="F152" s="271"/>
      <c r="G152" s="271"/>
      <c r="H152" s="271"/>
      <c r="I152" s="271"/>
      <c r="J152" s="271"/>
      <c r="K152" s="108"/>
    </row>
    <row r="153" spans="2:11" ht="12.75" hidden="1">
      <c r="B153" s="133"/>
      <c r="C153" s="108" t="s">
        <v>11</v>
      </c>
      <c r="D153" s="272">
        <f t="shared" si="2"/>
        <v>0</v>
      </c>
      <c r="E153" s="270"/>
      <c r="F153" s="271"/>
      <c r="G153" s="271"/>
      <c r="H153" s="271"/>
      <c r="I153" s="271"/>
      <c r="J153" s="271"/>
      <c r="K153" s="108"/>
    </row>
    <row r="154" spans="2:11" ht="12.75" hidden="1">
      <c r="B154" s="133"/>
      <c r="C154" s="108" t="s">
        <v>12</v>
      </c>
      <c r="D154" s="272">
        <f t="shared" si="2"/>
        <v>0</v>
      </c>
      <c r="E154" s="270"/>
      <c r="F154" s="271"/>
      <c r="G154" s="271"/>
      <c r="H154" s="271"/>
      <c r="I154" s="271"/>
      <c r="J154" s="271"/>
      <c r="K154" s="108"/>
    </row>
    <row r="155" spans="2:11" ht="12.75" hidden="1">
      <c r="B155" s="133"/>
      <c r="C155" s="108" t="s">
        <v>13</v>
      </c>
      <c r="D155" s="272">
        <f t="shared" si="2"/>
        <v>0</v>
      </c>
      <c r="E155" s="270"/>
      <c r="F155" s="271"/>
      <c r="G155" s="271"/>
      <c r="H155" s="271"/>
      <c r="I155" s="271"/>
      <c r="J155" s="271"/>
      <c r="K155" s="108"/>
    </row>
    <row r="156" spans="2:11" ht="12.75" hidden="1">
      <c r="B156" s="133"/>
      <c r="C156" s="108" t="s">
        <v>14</v>
      </c>
      <c r="D156" s="272">
        <f t="shared" si="2"/>
        <v>0</v>
      </c>
      <c r="E156" s="270"/>
      <c r="F156" s="271"/>
      <c r="G156" s="271"/>
      <c r="H156" s="271"/>
      <c r="I156" s="271"/>
      <c r="J156" s="271"/>
      <c r="K156" s="108"/>
    </row>
    <row r="157" spans="2:11" ht="12.75" hidden="1">
      <c r="B157" s="133"/>
      <c r="C157" s="108" t="s">
        <v>200</v>
      </c>
      <c r="D157" s="272">
        <f t="shared" si="2"/>
        <v>0</v>
      </c>
      <c r="E157" s="270"/>
      <c r="F157" s="271"/>
      <c r="G157" s="271"/>
      <c r="H157" s="271"/>
      <c r="I157" s="271"/>
      <c r="J157" s="271"/>
      <c r="K157" s="108"/>
    </row>
    <row r="158" spans="2:11" ht="12.75" hidden="1">
      <c r="B158" s="133"/>
      <c r="C158" s="108" t="s">
        <v>15</v>
      </c>
      <c r="D158" s="272">
        <f t="shared" si="2"/>
        <v>0</v>
      </c>
      <c r="E158" s="270"/>
      <c r="F158" s="271"/>
      <c r="G158" s="271"/>
      <c r="H158" s="271"/>
      <c r="I158" s="271"/>
      <c r="J158" s="271"/>
      <c r="K158" s="108"/>
    </row>
    <row r="159" spans="2:11" ht="12.75" hidden="1">
      <c r="B159" s="133"/>
      <c r="C159" s="108" t="s">
        <v>16</v>
      </c>
      <c r="D159" s="272">
        <f t="shared" si="2"/>
        <v>0</v>
      </c>
      <c r="E159" s="270"/>
      <c r="F159" s="271"/>
      <c r="G159" s="271"/>
      <c r="H159" s="271"/>
      <c r="I159" s="271"/>
      <c r="J159" s="271"/>
      <c r="K159" s="108"/>
    </row>
    <row r="160" spans="2:11" ht="12.75" hidden="1">
      <c r="B160" s="133"/>
      <c r="C160" s="108" t="s">
        <v>17</v>
      </c>
      <c r="D160" s="272">
        <f t="shared" si="2"/>
        <v>0</v>
      </c>
      <c r="E160" s="270"/>
      <c r="F160" s="271"/>
      <c r="G160" s="271"/>
      <c r="H160" s="271"/>
      <c r="I160" s="271"/>
      <c r="J160" s="271"/>
      <c r="K160" s="108"/>
    </row>
    <row r="161" spans="2:11" ht="12.75" hidden="1">
      <c r="B161" s="133"/>
      <c r="C161" s="108" t="s">
        <v>18</v>
      </c>
      <c r="D161" s="272">
        <f t="shared" si="2"/>
        <v>0</v>
      </c>
      <c r="E161" s="270"/>
      <c r="F161" s="271"/>
      <c r="G161" s="271"/>
      <c r="H161" s="271"/>
      <c r="I161" s="271"/>
      <c r="J161" s="271"/>
      <c r="K161" s="108"/>
    </row>
    <row r="162" spans="2:11" ht="12.75" hidden="1">
      <c r="B162" s="133"/>
      <c r="C162" s="108" t="s">
        <v>20</v>
      </c>
      <c r="D162" s="272" t="e">
        <f>#REF!</f>
        <v>#REF!</v>
      </c>
      <c r="E162" s="270"/>
      <c r="F162" s="271"/>
      <c r="G162" s="271"/>
      <c r="H162" s="271"/>
      <c r="I162" s="271"/>
      <c r="J162" s="271"/>
      <c r="K162" s="108"/>
    </row>
    <row r="163" spans="2:11" ht="12.75" hidden="1">
      <c r="B163" s="133"/>
      <c r="C163" s="108" t="s">
        <v>21</v>
      </c>
      <c r="D163" s="272">
        <f>E57</f>
        <v>0</v>
      </c>
      <c r="E163" s="270"/>
      <c r="F163" s="271"/>
      <c r="G163" s="271"/>
      <c r="H163" s="271"/>
      <c r="I163" s="271"/>
      <c r="J163" s="271"/>
      <c r="K163" s="108"/>
    </row>
    <row r="164" spans="2:11" ht="12.75" hidden="1">
      <c r="B164" s="133"/>
      <c r="C164" s="108" t="s">
        <v>22</v>
      </c>
      <c r="D164" s="272">
        <f>E58</f>
        <v>0</v>
      </c>
      <c r="E164" s="270"/>
      <c r="F164" s="271"/>
      <c r="G164" s="271"/>
      <c r="H164" s="271"/>
      <c r="I164" s="271"/>
      <c r="J164" s="271"/>
      <c r="K164" s="108"/>
    </row>
    <row r="165" spans="2:11" ht="12.75" hidden="1">
      <c r="B165" s="133"/>
      <c r="C165" s="108" t="s">
        <v>23</v>
      </c>
      <c r="D165" s="272" t="e">
        <f>#REF!</f>
        <v>#REF!</v>
      </c>
      <c r="E165" s="270"/>
      <c r="F165" s="271"/>
      <c r="G165" s="271"/>
      <c r="H165" s="271"/>
      <c r="I165" s="271"/>
      <c r="J165" s="271"/>
      <c r="K165" s="108"/>
    </row>
    <row r="166" spans="2:11" ht="12.75" hidden="1">
      <c r="B166" s="133"/>
      <c r="C166" s="108" t="s">
        <v>24</v>
      </c>
      <c r="D166" s="272" t="e">
        <f>#REF!</f>
        <v>#REF!</v>
      </c>
      <c r="E166" s="270"/>
      <c r="F166" s="271"/>
      <c r="G166" s="271"/>
      <c r="H166" s="271"/>
      <c r="I166" s="271"/>
      <c r="J166" s="271"/>
      <c r="K166" s="108"/>
    </row>
    <row r="167" spans="2:11" ht="12.75" hidden="1">
      <c r="B167" s="133"/>
      <c r="C167" s="108" t="s">
        <v>25</v>
      </c>
      <c r="D167" s="272" t="e">
        <f>#REF!</f>
        <v>#REF!</v>
      </c>
      <c r="E167" s="270"/>
      <c r="F167" s="271"/>
      <c r="G167" s="271"/>
      <c r="H167" s="271"/>
      <c r="I167" s="271"/>
      <c r="J167" s="271"/>
      <c r="K167" s="108"/>
    </row>
    <row r="168" spans="2:11" ht="12.75" hidden="1">
      <c r="B168" s="133"/>
      <c r="C168" s="108" t="s">
        <v>26</v>
      </c>
      <c r="D168" s="272">
        <f>E59</f>
        <v>0</v>
      </c>
      <c r="E168" s="270"/>
      <c r="F168" s="271"/>
      <c r="G168" s="271"/>
      <c r="H168" s="271"/>
      <c r="I168" s="271"/>
      <c r="J168" s="271"/>
      <c r="K168" s="108"/>
    </row>
    <row r="169" spans="2:11" ht="12.75" hidden="1">
      <c r="B169" s="133"/>
      <c r="C169" s="108" t="s">
        <v>27</v>
      </c>
      <c r="D169" s="272">
        <f>E60</f>
        <v>0</v>
      </c>
      <c r="E169" s="270"/>
      <c r="F169" s="271"/>
      <c r="G169" s="271"/>
      <c r="H169" s="271"/>
      <c r="I169" s="271"/>
      <c r="J169" s="271"/>
      <c r="K169" s="108"/>
    </row>
    <row r="170" spans="2:11" ht="12.75" hidden="1">
      <c r="B170" s="133"/>
      <c r="C170" s="108" t="s">
        <v>28</v>
      </c>
      <c r="D170" s="272">
        <f>E61</f>
        <v>0</v>
      </c>
      <c r="E170" s="270"/>
      <c r="F170" s="271"/>
      <c r="G170" s="271"/>
      <c r="H170" s="271"/>
      <c r="I170" s="271"/>
      <c r="J170" s="271"/>
      <c r="K170" s="108"/>
    </row>
    <row r="171" spans="2:11" ht="12.75" hidden="1">
      <c r="B171" s="133"/>
      <c r="C171" s="108" t="s">
        <v>29</v>
      </c>
      <c r="D171" s="272" t="e">
        <f>#REF!</f>
        <v>#REF!</v>
      </c>
      <c r="E171" s="270"/>
      <c r="F171" s="271"/>
      <c r="G171" s="271"/>
      <c r="H171" s="271"/>
      <c r="I171" s="271"/>
      <c r="J171" s="271"/>
      <c r="K171" s="108"/>
    </row>
    <row r="172" spans="2:11" ht="12.75" hidden="1">
      <c r="B172" s="133"/>
      <c r="C172" s="108" t="s">
        <v>30</v>
      </c>
      <c r="D172" s="272" t="e">
        <f>#REF!</f>
        <v>#REF!</v>
      </c>
      <c r="E172" s="270"/>
      <c r="F172" s="271"/>
      <c r="G172" s="271"/>
      <c r="H172" s="271"/>
      <c r="I172" s="271"/>
      <c r="J172" s="271"/>
      <c r="K172" s="108"/>
    </row>
    <row r="173" spans="2:11" ht="12.75" hidden="1">
      <c r="B173" s="133"/>
      <c r="C173" s="108" t="s">
        <v>31</v>
      </c>
      <c r="D173" s="272">
        <f>E62</f>
        <v>0</v>
      </c>
      <c r="E173" s="270"/>
      <c r="F173" s="271"/>
      <c r="G173" s="271"/>
      <c r="H173" s="271"/>
      <c r="I173" s="271"/>
      <c r="J173" s="271"/>
      <c r="K173" s="108"/>
    </row>
    <row r="174" spans="2:11" ht="12.75" hidden="1">
      <c r="B174" s="133"/>
      <c r="C174" s="108" t="s">
        <v>32</v>
      </c>
      <c r="D174" s="272">
        <f>E63</f>
        <v>0</v>
      </c>
      <c r="E174" s="270"/>
      <c r="F174" s="271"/>
      <c r="G174" s="271"/>
      <c r="H174" s="271"/>
      <c r="I174" s="271"/>
      <c r="J174" s="271"/>
      <c r="K174" s="108"/>
    </row>
    <row r="175" spans="2:11" ht="12.75" hidden="1">
      <c r="B175" s="133"/>
      <c r="C175" s="108" t="s">
        <v>33</v>
      </c>
      <c r="D175" s="272">
        <f>E64</f>
        <v>0</v>
      </c>
      <c r="E175" s="270"/>
      <c r="F175" s="271"/>
      <c r="G175" s="271"/>
      <c r="H175" s="271"/>
      <c r="I175" s="271"/>
      <c r="J175" s="271"/>
      <c r="K175" s="108"/>
    </row>
    <row r="176" spans="2:11" ht="12.75" hidden="1">
      <c r="B176" s="133"/>
      <c r="C176" s="134" t="s">
        <v>311</v>
      </c>
      <c r="D176" s="135">
        <f>D85</f>
        <v>0</v>
      </c>
      <c r="E176" s="134" t="s">
        <v>293</v>
      </c>
      <c r="F176" s="271"/>
      <c r="G176" s="271"/>
      <c r="H176" s="271"/>
      <c r="I176" s="271"/>
      <c r="J176" s="271"/>
      <c r="K176" s="108"/>
    </row>
    <row r="177" spans="2:11" ht="12.75" hidden="1">
      <c r="B177" s="133"/>
      <c r="C177" s="133" t="s">
        <v>211</v>
      </c>
      <c r="D177" s="270">
        <f>D8</f>
        <v>0</v>
      </c>
      <c r="E177" s="270"/>
      <c r="F177" s="271"/>
      <c r="G177" s="271"/>
      <c r="H177" s="271"/>
      <c r="I177" s="271"/>
      <c r="J177" s="271"/>
      <c r="K177" s="108"/>
    </row>
    <row r="178" spans="2:11" ht="12.75" hidden="1">
      <c r="B178" s="133"/>
      <c r="C178" s="133" t="s">
        <v>210</v>
      </c>
      <c r="D178" s="270">
        <f>D9</f>
        <v>0</v>
      </c>
      <c r="E178" s="270"/>
      <c r="F178" s="271"/>
      <c r="G178" s="271"/>
      <c r="H178" s="271"/>
      <c r="I178" s="271"/>
      <c r="J178" s="271"/>
      <c r="K178" s="108"/>
    </row>
    <row r="179" spans="2:11" ht="12.75" hidden="1">
      <c r="B179" s="133"/>
      <c r="C179" s="133" t="s">
        <v>246</v>
      </c>
      <c r="D179" s="270">
        <f>'User Interface'!C54</f>
        <v>0</v>
      </c>
      <c r="E179" s="270"/>
      <c r="F179" s="271"/>
      <c r="G179" s="271"/>
      <c r="H179" s="271"/>
      <c r="I179" s="271"/>
      <c r="J179" s="271"/>
      <c r="K179" s="108"/>
    </row>
    <row r="180" spans="2:10" s="108" customFormat="1" ht="12.75">
      <c r="B180" s="133"/>
      <c r="C180" s="270"/>
      <c r="D180" s="270"/>
      <c r="E180" s="270"/>
      <c r="F180" s="271"/>
      <c r="G180" s="271"/>
      <c r="H180" s="271"/>
      <c r="I180" s="271"/>
      <c r="J180" s="271"/>
    </row>
    <row r="181" spans="2:10" s="108" customFormat="1" ht="12.75">
      <c r="B181" s="133"/>
      <c r="C181" s="270"/>
      <c r="D181" s="270"/>
      <c r="E181" s="270"/>
      <c r="F181" s="271"/>
      <c r="G181" s="271"/>
      <c r="H181" s="271"/>
      <c r="I181" s="271"/>
      <c r="J181" s="271"/>
    </row>
    <row r="182" spans="2:10" s="108" customFormat="1" ht="12.75">
      <c r="B182" s="133"/>
      <c r="C182" s="270"/>
      <c r="D182" s="270"/>
      <c r="E182" s="270"/>
      <c r="F182" s="271"/>
      <c r="G182" s="271"/>
      <c r="H182" s="271"/>
      <c r="I182" s="271"/>
      <c r="J182" s="271"/>
    </row>
    <row r="183" spans="2:10" s="108" customFormat="1" ht="12.75">
      <c r="B183" s="133"/>
      <c r="C183" s="270"/>
      <c r="D183" s="270"/>
      <c r="E183" s="270"/>
      <c r="F183" s="271"/>
      <c r="G183" s="271"/>
      <c r="H183" s="271"/>
      <c r="I183" s="271"/>
      <c r="J183" s="271"/>
    </row>
    <row r="184" spans="2:10" s="108" customFormat="1" ht="12.75">
      <c r="B184" s="133"/>
      <c r="C184" s="270"/>
      <c r="D184" s="270"/>
      <c r="E184" s="270"/>
      <c r="F184" s="271"/>
      <c r="G184" s="271"/>
      <c r="H184" s="271"/>
      <c r="I184" s="271"/>
      <c r="J184" s="271"/>
    </row>
    <row r="185" spans="2:10" s="108" customFormat="1" ht="12.75">
      <c r="B185" s="133"/>
      <c r="C185" s="270"/>
      <c r="D185" s="270"/>
      <c r="E185" s="270"/>
      <c r="F185" s="271"/>
      <c r="G185" s="271"/>
      <c r="H185" s="271"/>
      <c r="I185" s="271"/>
      <c r="J185" s="271"/>
    </row>
    <row r="186" spans="2:10" s="108" customFormat="1" ht="12.75">
      <c r="B186" s="133"/>
      <c r="C186" s="270"/>
      <c r="D186" s="270"/>
      <c r="E186" s="270"/>
      <c r="F186" s="271"/>
      <c r="G186" s="271"/>
      <c r="H186" s="271"/>
      <c r="I186" s="271"/>
      <c r="J186" s="271"/>
    </row>
    <row r="187" spans="2:10" s="108" customFormat="1" ht="12.75">
      <c r="B187" s="133"/>
      <c r="C187" s="270"/>
      <c r="D187" s="270"/>
      <c r="E187" s="270"/>
      <c r="F187" s="271"/>
      <c r="G187" s="271"/>
      <c r="H187" s="271"/>
      <c r="I187" s="271"/>
      <c r="J187" s="271"/>
    </row>
    <row r="188" spans="2:10" s="108" customFormat="1" ht="12.75">
      <c r="B188" s="133"/>
      <c r="C188" s="270"/>
      <c r="D188" s="270"/>
      <c r="E188" s="270"/>
      <c r="F188" s="271"/>
      <c r="G188" s="271"/>
      <c r="H188" s="271"/>
      <c r="I188" s="271"/>
      <c r="J188" s="271"/>
    </row>
    <row r="189" spans="2:10" s="108" customFormat="1" ht="12.75">
      <c r="B189" s="133"/>
      <c r="C189" s="270"/>
      <c r="D189" s="270"/>
      <c r="E189" s="270"/>
      <c r="F189" s="271"/>
      <c r="G189" s="271"/>
      <c r="H189" s="271"/>
      <c r="I189" s="271"/>
      <c r="J189" s="271"/>
    </row>
    <row r="190" spans="2:10" s="108" customFormat="1" ht="12.75">
      <c r="B190" s="133"/>
      <c r="C190" s="270"/>
      <c r="D190" s="270"/>
      <c r="E190" s="270"/>
      <c r="F190" s="271"/>
      <c r="G190" s="271"/>
      <c r="H190" s="271"/>
      <c r="I190" s="271"/>
      <c r="J190" s="271"/>
    </row>
    <row r="191" spans="2:10" s="108" customFormat="1" ht="12.75">
      <c r="B191" s="133"/>
      <c r="C191" s="270"/>
      <c r="D191" s="270"/>
      <c r="E191" s="270"/>
      <c r="F191" s="271"/>
      <c r="G191" s="271"/>
      <c r="H191" s="271"/>
      <c r="I191" s="271"/>
      <c r="J191" s="271"/>
    </row>
    <row r="192" spans="2:10" s="108" customFormat="1" ht="12.75">
      <c r="B192" s="133"/>
      <c r="C192" s="270"/>
      <c r="D192" s="270"/>
      <c r="E192" s="270"/>
      <c r="F192" s="271"/>
      <c r="G192" s="271"/>
      <c r="H192" s="271"/>
      <c r="I192" s="271"/>
      <c r="J192" s="271"/>
    </row>
    <row r="193" spans="2:10" s="108" customFormat="1" ht="12.75">
      <c r="B193" s="133"/>
      <c r="C193" s="270"/>
      <c r="D193" s="270"/>
      <c r="E193" s="270"/>
      <c r="F193" s="271"/>
      <c r="G193" s="271"/>
      <c r="H193" s="271"/>
      <c r="I193" s="271"/>
      <c r="J193" s="271"/>
    </row>
    <row r="194" spans="2:10" s="108" customFormat="1" ht="12.75">
      <c r="B194" s="133"/>
      <c r="C194" s="270"/>
      <c r="D194" s="270"/>
      <c r="E194" s="270"/>
      <c r="F194" s="271"/>
      <c r="G194" s="271"/>
      <c r="H194" s="271"/>
      <c r="I194" s="271"/>
      <c r="J194" s="271"/>
    </row>
    <row r="195" spans="2:10" s="108" customFormat="1" ht="12.75">
      <c r="B195" s="133"/>
      <c r="C195" s="270"/>
      <c r="D195" s="270"/>
      <c r="E195" s="270"/>
      <c r="F195" s="271"/>
      <c r="G195" s="271"/>
      <c r="H195" s="271"/>
      <c r="I195" s="271"/>
      <c r="J195" s="271"/>
    </row>
    <row r="196" spans="2:10" s="108" customFormat="1" ht="12.75">
      <c r="B196" s="133"/>
      <c r="C196" s="270"/>
      <c r="D196" s="270"/>
      <c r="E196" s="270"/>
      <c r="F196" s="271"/>
      <c r="G196" s="271"/>
      <c r="H196" s="271"/>
      <c r="I196" s="271"/>
      <c r="J196" s="271"/>
    </row>
    <row r="197" spans="2:10" s="108" customFormat="1" ht="12.75">
      <c r="B197" s="133"/>
      <c r="C197" s="270"/>
      <c r="D197" s="270"/>
      <c r="E197" s="270"/>
      <c r="F197" s="271"/>
      <c r="G197" s="271"/>
      <c r="H197" s="271"/>
      <c r="I197" s="271"/>
      <c r="J197" s="271"/>
    </row>
    <row r="198" spans="2:10" s="108" customFormat="1" ht="12.75">
      <c r="B198" s="133"/>
      <c r="C198" s="270"/>
      <c r="D198" s="270"/>
      <c r="E198" s="270"/>
      <c r="F198" s="271"/>
      <c r="G198" s="271"/>
      <c r="H198" s="271"/>
      <c r="I198" s="271"/>
      <c r="J198" s="271"/>
    </row>
    <row r="199" spans="2:10" s="108" customFormat="1" ht="12.75">
      <c r="B199" s="133"/>
      <c r="C199" s="270"/>
      <c r="D199" s="270"/>
      <c r="E199" s="270"/>
      <c r="F199" s="271"/>
      <c r="G199" s="271"/>
      <c r="H199" s="271"/>
      <c r="I199" s="271"/>
      <c r="J199" s="271"/>
    </row>
    <row r="200" spans="2:10" s="108" customFormat="1" ht="12.75">
      <c r="B200" s="133"/>
      <c r="C200" s="270"/>
      <c r="D200" s="270"/>
      <c r="E200" s="270"/>
      <c r="F200" s="271"/>
      <c r="G200" s="271"/>
      <c r="H200" s="271"/>
      <c r="I200" s="271"/>
      <c r="J200" s="271"/>
    </row>
    <row r="201" spans="2:10" s="108" customFormat="1" ht="12.75">
      <c r="B201" s="133"/>
      <c r="C201" s="270"/>
      <c r="D201" s="270"/>
      <c r="E201" s="270"/>
      <c r="F201" s="271"/>
      <c r="G201" s="271"/>
      <c r="H201" s="271"/>
      <c r="I201" s="271"/>
      <c r="J201" s="271"/>
    </row>
    <row r="202" spans="2:10" s="108" customFormat="1" ht="12.75">
      <c r="B202" s="133"/>
      <c r="C202" s="270"/>
      <c r="D202" s="270"/>
      <c r="E202" s="270"/>
      <c r="F202" s="271"/>
      <c r="G202" s="271"/>
      <c r="H202" s="271"/>
      <c r="I202" s="271"/>
      <c r="J202" s="271"/>
    </row>
    <row r="203" spans="2:10" s="108" customFormat="1" ht="12.75">
      <c r="B203" s="133"/>
      <c r="C203" s="270"/>
      <c r="D203" s="270"/>
      <c r="E203" s="270"/>
      <c r="F203" s="271"/>
      <c r="G203" s="271"/>
      <c r="H203" s="271"/>
      <c r="I203" s="271"/>
      <c r="J203" s="271"/>
    </row>
    <row r="204" spans="2:10" s="108" customFormat="1" ht="12.75">
      <c r="B204" s="133"/>
      <c r="C204" s="270"/>
      <c r="D204" s="270"/>
      <c r="E204" s="270"/>
      <c r="F204" s="271"/>
      <c r="G204" s="271"/>
      <c r="H204" s="271"/>
      <c r="I204" s="271"/>
      <c r="J204" s="271"/>
    </row>
    <row r="205" spans="2:10" s="108" customFormat="1" ht="12.75">
      <c r="B205" s="133"/>
      <c r="C205" s="270"/>
      <c r="D205" s="270"/>
      <c r="E205" s="270"/>
      <c r="F205" s="271"/>
      <c r="G205" s="271"/>
      <c r="H205" s="271"/>
      <c r="I205" s="271"/>
      <c r="J205" s="271"/>
    </row>
    <row r="206" spans="2:10" s="108" customFormat="1" ht="12.75">
      <c r="B206" s="133"/>
      <c r="C206" s="270"/>
      <c r="D206" s="270"/>
      <c r="E206" s="270"/>
      <c r="F206" s="271"/>
      <c r="G206" s="271"/>
      <c r="H206" s="271"/>
      <c r="I206" s="271"/>
      <c r="J206" s="271"/>
    </row>
    <row r="207" spans="2:10" s="108" customFormat="1" ht="12.75">
      <c r="B207" s="133"/>
      <c r="C207" s="270"/>
      <c r="D207" s="270"/>
      <c r="E207" s="270"/>
      <c r="F207" s="271"/>
      <c r="G207" s="271"/>
      <c r="H207" s="271"/>
      <c r="I207" s="271"/>
      <c r="J207" s="271"/>
    </row>
    <row r="208" spans="2:10" s="108" customFormat="1" ht="12.75">
      <c r="B208" s="133"/>
      <c r="C208" s="270"/>
      <c r="D208" s="270"/>
      <c r="E208" s="270"/>
      <c r="F208" s="271"/>
      <c r="G208" s="271"/>
      <c r="H208" s="271"/>
      <c r="I208" s="271"/>
      <c r="J208" s="271"/>
    </row>
    <row r="209" spans="2:10" s="108" customFormat="1" ht="12.75">
      <c r="B209" s="133"/>
      <c r="C209" s="270"/>
      <c r="D209" s="270"/>
      <c r="E209" s="270"/>
      <c r="F209" s="271"/>
      <c r="G209" s="271"/>
      <c r="H209" s="271"/>
      <c r="I209" s="271"/>
      <c r="J209" s="271"/>
    </row>
    <row r="210" spans="2:10" s="108" customFormat="1" ht="12.75">
      <c r="B210" s="133"/>
      <c r="C210" s="270"/>
      <c r="D210" s="270"/>
      <c r="E210" s="270"/>
      <c r="F210" s="271"/>
      <c r="G210" s="271"/>
      <c r="H210" s="271"/>
      <c r="I210" s="271"/>
      <c r="J210" s="271"/>
    </row>
    <row r="211" spans="2:10" s="108" customFormat="1" ht="12.75">
      <c r="B211" s="133"/>
      <c r="C211" s="270"/>
      <c r="D211" s="270"/>
      <c r="E211" s="270"/>
      <c r="F211" s="271"/>
      <c r="G211" s="271"/>
      <c r="H211" s="271"/>
      <c r="I211" s="271"/>
      <c r="J211" s="271"/>
    </row>
    <row r="212" spans="2:10" s="108" customFormat="1" ht="12.75">
      <c r="B212" s="133"/>
      <c r="C212" s="270"/>
      <c r="D212" s="270"/>
      <c r="E212" s="270"/>
      <c r="F212" s="271"/>
      <c r="G212" s="271"/>
      <c r="H212" s="271"/>
      <c r="I212" s="271"/>
      <c r="J212" s="271"/>
    </row>
    <row r="213" spans="2:10" s="108" customFormat="1" ht="12.75">
      <c r="B213" s="133"/>
      <c r="C213" s="270"/>
      <c r="D213" s="270"/>
      <c r="E213" s="270"/>
      <c r="F213" s="271"/>
      <c r="G213" s="271"/>
      <c r="H213" s="271"/>
      <c r="I213" s="271"/>
      <c r="J213" s="271"/>
    </row>
    <row r="214" spans="2:10" s="108" customFormat="1" ht="12.75">
      <c r="B214" s="133"/>
      <c r="C214" s="270"/>
      <c r="D214" s="270"/>
      <c r="E214" s="270"/>
      <c r="F214" s="271"/>
      <c r="G214" s="271"/>
      <c r="H214" s="271"/>
      <c r="I214" s="271"/>
      <c r="J214" s="271"/>
    </row>
    <row r="215" spans="2:10" s="108" customFormat="1" ht="12.75">
      <c r="B215" s="133"/>
      <c r="C215" s="270"/>
      <c r="D215" s="270"/>
      <c r="E215" s="270"/>
      <c r="F215" s="271"/>
      <c r="G215" s="271"/>
      <c r="H215" s="271"/>
      <c r="I215" s="271"/>
      <c r="J215" s="271"/>
    </row>
    <row r="216" spans="2:10" s="108" customFormat="1" ht="12.75">
      <c r="B216" s="133"/>
      <c r="C216" s="270"/>
      <c r="D216" s="270"/>
      <c r="E216" s="270"/>
      <c r="F216" s="271"/>
      <c r="G216" s="271"/>
      <c r="H216" s="271"/>
      <c r="I216" s="271"/>
      <c r="J216" s="271"/>
    </row>
    <row r="217" spans="2:10" s="108" customFormat="1" ht="12.75">
      <c r="B217" s="133"/>
      <c r="C217" s="270"/>
      <c r="D217" s="270"/>
      <c r="E217" s="270"/>
      <c r="F217" s="271"/>
      <c r="G217" s="271"/>
      <c r="H217" s="271"/>
      <c r="I217" s="271"/>
      <c r="J217" s="271"/>
    </row>
    <row r="218" spans="2:10" s="108" customFormat="1" ht="12.75">
      <c r="B218" s="133"/>
      <c r="C218" s="270"/>
      <c r="D218" s="270"/>
      <c r="E218" s="270"/>
      <c r="F218" s="271"/>
      <c r="G218" s="271"/>
      <c r="H218" s="271"/>
      <c r="I218" s="271"/>
      <c r="J218" s="271"/>
    </row>
    <row r="219" spans="2:10" s="108" customFormat="1" ht="12.75">
      <c r="B219" s="133"/>
      <c r="C219" s="270"/>
      <c r="D219" s="270"/>
      <c r="E219" s="270"/>
      <c r="F219" s="271"/>
      <c r="G219" s="271"/>
      <c r="H219" s="271"/>
      <c r="I219" s="271"/>
      <c r="J219" s="271"/>
    </row>
    <row r="220" spans="2:10" s="108" customFormat="1" ht="12.75">
      <c r="B220" s="133"/>
      <c r="C220" s="270"/>
      <c r="D220" s="270"/>
      <c r="E220" s="270"/>
      <c r="F220" s="271"/>
      <c r="G220" s="271"/>
      <c r="H220" s="271"/>
      <c r="I220" s="271"/>
      <c r="J220" s="271"/>
    </row>
    <row r="221" spans="2:10" s="108" customFormat="1" ht="12.75">
      <c r="B221" s="133"/>
      <c r="C221" s="270"/>
      <c r="D221" s="270"/>
      <c r="E221" s="270"/>
      <c r="F221" s="271"/>
      <c r="G221" s="271"/>
      <c r="H221" s="271"/>
      <c r="I221" s="271"/>
      <c r="J221" s="271"/>
    </row>
    <row r="222" spans="2:10" s="108" customFormat="1" ht="12.75">
      <c r="B222" s="133"/>
      <c r="C222" s="270"/>
      <c r="D222" s="270"/>
      <c r="E222" s="270"/>
      <c r="F222" s="271"/>
      <c r="G222" s="271"/>
      <c r="H222" s="271"/>
      <c r="I222" s="271"/>
      <c r="J222" s="271"/>
    </row>
    <row r="223" spans="2:10" s="108" customFormat="1" ht="12.75">
      <c r="B223" s="133"/>
      <c r="C223" s="270"/>
      <c r="D223" s="270"/>
      <c r="E223" s="270"/>
      <c r="F223" s="271"/>
      <c r="G223" s="271"/>
      <c r="H223" s="271"/>
      <c r="I223" s="271"/>
      <c r="J223" s="271"/>
    </row>
    <row r="224" spans="2:10" s="108" customFormat="1" ht="12.75">
      <c r="B224" s="133"/>
      <c r="C224" s="270"/>
      <c r="D224" s="270"/>
      <c r="E224" s="270"/>
      <c r="F224" s="271"/>
      <c r="G224" s="271"/>
      <c r="H224" s="271"/>
      <c r="I224" s="271"/>
      <c r="J224" s="271"/>
    </row>
    <row r="225" spans="2:10" s="108" customFormat="1" ht="12.75">
      <c r="B225" s="133"/>
      <c r="C225" s="270"/>
      <c r="D225" s="270"/>
      <c r="E225" s="270"/>
      <c r="F225" s="271"/>
      <c r="G225" s="271"/>
      <c r="H225" s="271"/>
      <c r="I225" s="271"/>
      <c r="J225" s="271"/>
    </row>
    <row r="226" spans="2:10" s="108" customFormat="1" ht="12.75">
      <c r="B226" s="133"/>
      <c r="C226" s="270"/>
      <c r="D226" s="270"/>
      <c r="E226" s="270"/>
      <c r="F226" s="271"/>
      <c r="G226" s="271"/>
      <c r="H226" s="271"/>
      <c r="I226" s="271"/>
      <c r="J226" s="271"/>
    </row>
    <row r="227" spans="2:10" s="108" customFormat="1" ht="12.75">
      <c r="B227" s="133"/>
      <c r="C227" s="270"/>
      <c r="D227" s="270"/>
      <c r="E227" s="270"/>
      <c r="F227" s="271"/>
      <c r="G227" s="271"/>
      <c r="H227" s="271"/>
      <c r="I227" s="271"/>
      <c r="J227" s="271"/>
    </row>
    <row r="228" spans="2:10" s="108" customFormat="1" ht="12.75">
      <c r="B228" s="133"/>
      <c r="C228" s="270"/>
      <c r="D228" s="270"/>
      <c r="E228" s="270"/>
      <c r="F228" s="271"/>
      <c r="G228" s="271"/>
      <c r="H228" s="271"/>
      <c r="I228" s="271"/>
      <c r="J228" s="271"/>
    </row>
    <row r="229" spans="2:10" s="108" customFormat="1" ht="12.75">
      <c r="B229" s="133"/>
      <c r="C229" s="270"/>
      <c r="D229" s="270"/>
      <c r="E229" s="270"/>
      <c r="F229" s="271"/>
      <c r="G229" s="271"/>
      <c r="H229" s="271"/>
      <c r="I229" s="271"/>
      <c r="J229" s="271"/>
    </row>
    <row r="230" spans="2:10" s="108" customFormat="1" ht="12.75">
      <c r="B230" s="133"/>
      <c r="C230" s="270"/>
      <c r="D230" s="270"/>
      <c r="E230" s="270"/>
      <c r="F230" s="271"/>
      <c r="G230" s="271"/>
      <c r="H230" s="271"/>
      <c r="I230" s="271"/>
      <c r="J230" s="271"/>
    </row>
    <row r="231" spans="2:10" s="108" customFormat="1" ht="12.75">
      <c r="B231" s="133"/>
      <c r="C231" s="270"/>
      <c r="D231" s="270"/>
      <c r="E231" s="270"/>
      <c r="F231" s="271"/>
      <c r="G231" s="271"/>
      <c r="H231" s="271"/>
      <c r="I231" s="271"/>
      <c r="J231" s="271"/>
    </row>
    <row r="232" spans="2:10" s="108" customFormat="1" ht="12.75">
      <c r="B232" s="133"/>
      <c r="C232" s="270"/>
      <c r="D232" s="270"/>
      <c r="E232" s="270"/>
      <c r="F232" s="271"/>
      <c r="G232" s="271"/>
      <c r="H232" s="271"/>
      <c r="I232" s="271"/>
      <c r="J232" s="271"/>
    </row>
    <row r="233" spans="2:10" s="108" customFormat="1" ht="12.75">
      <c r="B233" s="133"/>
      <c r="C233" s="270"/>
      <c r="D233" s="270"/>
      <c r="E233" s="270"/>
      <c r="F233" s="271"/>
      <c r="G233" s="271"/>
      <c r="H233" s="271"/>
      <c r="I233" s="271"/>
      <c r="J233" s="271"/>
    </row>
    <row r="234" spans="2:10" s="108" customFormat="1" ht="12.75">
      <c r="B234" s="133"/>
      <c r="C234" s="270"/>
      <c r="D234" s="270"/>
      <c r="E234" s="270"/>
      <c r="F234" s="271"/>
      <c r="G234" s="271"/>
      <c r="H234" s="271"/>
      <c r="I234" s="271"/>
      <c r="J234" s="271"/>
    </row>
    <row r="235" spans="2:10" s="108" customFormat="1" ht="12.75">
      <c r="B235" s="133"/>
      <c r="C235" s="270"/>
      <c r="D235" s="270"/>
      <c r="E235" s="270"/>
      <c r="F235" s="271"/>
      <c r="G235" s="271"/>
      <c r="H235" s="271"/>
      <c r="I235" s="271"/>
      <c r="J235" s="271"/>
    </row>
    <row r="236" spans="2:10" s="108" customFormat="1" ht="12.75">
      <c r="B236" s="133"/>
      <c r="C236" s="270"/>
      <c r="D236" s="270"/>
      <c r="E236" s="270"/>
      <c r="F236" s="271"/>
      <c r="G236" s="271"/>
      <c r="H236" s="271"/>
      <c r="I236" s="271"/>
      <c r="J236" s="271"/>
    </row>
    <row r="237" spans="2:10" s="108" customFormat="1" ht="12.75">
      <c r="B237" s="133"/>
      <c r="C237" s="270"/>
      <c r="D237" s="270"/>
      <c r="E237" s="270"/>
      <c r="F237" s="271"/>
      <c r="G237" s="271"/>
      <c r="H237" s="271"/>
      <c r="I237" s="271"/>
      <c r="J237" s="271"/>
    </row>
    <row r="238" spans="2:10" s="108" customFormat="1" ht="12.75">
      <c r="B238" s="133"/>
      <c r="C238" s="270"/>
      <c r="D238" s="270"/>
      <c r="E238" s="270"/>
      <c r="F238" s="271"/>
      <c r="G238" s="271"/>
      <c r="H238" s="271"/>
      <c r="I238" s="271"/>
      <c r="J238" s="271"/>
    </row>
    <row r="239" spans="2:10" s="108" customFormat="1" ht="12.75">
      <c r="B239" s="133"/>
      <c r="C239" s="270"/>
      <c r="D239" s="270"/>
      <c r="E239" s="270"/>
      <c r="F239" s="271"/>
      <c r="G239" s="271"/>
      <c r="H239" s="271"/>
      <c r="I239" s="271"/>
      <c r="J239" s="271"/>
    </row>
    <row r="240" spans="2:10" s="108" customFormat="1" ht="12.75">
      <c r="B240" s="133"/>
      <c r="C240" s="270"/>
      <c r="D240" s="270"/>
      <c r="E240" s="270"/>
      <c r="F240" s="271"/>
      <c r="G240" s="271"/>
      <c r="H240" s="271"/>
      <c r="I240" s="271"/>
      <c r="J240" s="271"/>
    </row>
    <row r="241" spans="2:10" s="108" customFormat="1" ht="12.75">
      <c r="B241" s="133"/>
      <c r="C241" s="270"/>
      <c r="D241" s="270"/>
      <c r="E241" s="270"/>
      <c r="F241" s="271"/>
      <c r="G241" s="271"/>
      <c r="H241" s="271"/>
      <c r="I241" s="271"/>
      <c r="J241" s="271"/>
    </row>
    <row r="242" spans="2:10" s="108" customFormat="1" ht="12.75">
      <c r="B242" s="133"/>
      <c r="C242" s="270"/>
      <c r="D242" s="270"/>
      <c r="E242" s="270"/>
      <c r="F242" s="271"/>
      <c r="G242" s="271"/>
      <c r="H242" s="271"/>
      <c r="I242" s="271"/>
      <c r="J242" s="271"/>
    </row>
    <row r="243" spans="2:10" s="108" customFormat="1" ht="12.75">
      <c r="B243" s="133"/>
      <c r="C243" s="270"/>
      <c r="D243" s="270"/>
      <c r="E243" s="270"/>
      <c r="F243" s="271"/>
      <c r="G243" s="271"/>
      <c r="H243" s="271"/>
      <c r="I243" s="271"/>
      <c r="J243" s="271"/>
    </row>
    <row r="244" spans="2:10" s="108" customFormat="1" ht="12.75">
      <c r="B244" s="133"/>
      <c r="C244" s="270"/>
      <c r="D244" s="270"/>
      <c r="E244" s="270"/>
      <c r="F244" s="271"/>
      <c r="G244" s="271"/>
      <c r="H244" s="271"/>
      <c r="I244" s="271"/>
      <c r="J244" s="271"/>
    </row>
    <row r="245" spans="2:10" s="108" customFormat="1" ht="12.75">
      <c r="B245" s="133"/>
      <c r="C245" s="270"/>
      <c r="D245" s="270"/>
      <c r="E245" s="270"/>
      <c r="F245" s="271"/>
      <c r="G245" s="271"/>
      <c r="H245" s="271"/>
      <c r="I245" s="271"/>
      <c r="J245" s="271"/>
    </row>
    <row r="246" spans="2:10" s="108" customFormat="1" ht="12.75">
      <c r="B246" s="133"/>
      <c r="C246" s="270"/>
      <c r="D246" s="270"/>
      <c r="E246" s="270"/>
      <c r="F246" s="271"/>
      <c r="G246" s="271"/>
      <c r="H246" s="271"/>
      <c r="I246" s="271"/>
      <c r="J246" s="271"/>
    </row>
    <row r="247" spans="2:10" s="108" customFormat="1" ht="12.75">
      <c r="B247" s="133"/>
      <c r="C247" s="270"/>
      <c r="D247" s="270"/>
      <c r="E247" s="270"/>
      <c r="F247" s="271"/>
      <c r="G247" s="271"/>
      <c r="H247" s="271"/>
      <c r="I247" s="271"/>
      <c r="J247" s="271"/>
    </row>
    <row r="248" spans="2:10" s="108" customFormat="1" ht="12.75">
      <c r="B248" s="133"/>
      <c r="C248" s="270"/>
      <c r="D248" s="270"/>
      <c r="E248" s="270"/>
      <c r="F248" s="271"/>
      <c r="G248" s="271"/>
      <c r="H248" s="271"/>
      <c r="I248" s="271"/>
      <c r="J248" s="271"/>
    </row>
    <row r="249" spans="2:10" s="108" customFormat="1" ht="12.75">
      <c r="B249" s="133"/>
      <c r="C249" s="270"/>
      <c r="D249" s="270"/>
      <c r="E249" s="270"/>
      <c r="F249" s="271"/>
      <c r="G249" s="271"/>
      <c r="H249" s="271"/>
      <c r="I249" s="271"/>
      <c r="J249" s="271"/>
    </row>
    <row r="250" spans="2:10" s="108" customFormat="1" ht="12.75">
      <c r="B250" s="133"/>
      <c r="C250" s="270"/>
      <c r="D250" s="270"/>
      <c r="E250" s="270"/>
      <c r="F250" s="271"/>
      <c r="G250" s="271"/>
      <c r="H250" s="271"/>
      <c r="I250" s="271"/>
      <c r="J250" s="271"/>
    </row>
    <row r="251" spans="2:10" s="108" customFormat="1" ht="12.75">
      <c r="B251" s="133"/>
      <c r="C251" s="270"/>
      <c r="D251" s="270"/>
      <c r="E251" s="270"/>
      <c r="F251" s="271"/>
      <c r="G251" s="271"/>
      <c r="H251" s="271"/>
      <c r="I251" s="271"/>
      <c r="J251" s="271"/>
    </row>
    <row r="252" spans="2:10" s="108" customFormat="1" ht="12.75">
      <c r="B252" s="133"/>
      <c r="C252" s="270"/>
      <c r="D252" s="270"/>
      <c r="E252" s="270"/>
      <c r="F252" s="271"/>
      <c r="G252" s="271"/>
      <c r="H252" s="271"/>
      <c r="I252" s="271"/>
      <c r="J252" s="271"/>
    </row>
    <row r="253" spans="2:10" s="108" customFormat="1" ht="12.75">
      <c r="B253" s="133"/>
      <c r="C253" s="270"/>
      <c r="D253" s="270"/>
      <c r="E253" s="270"/>
      <c r="F253" s="271"/>
      <c r="G253" s="271"/>
      <c r="H253" s="271"/>
      <c r="I253" s="271"/>
      <c r="J253" s="271"/>
    </row>
    <row r="254" spans="2:10" s="108" customFormat="1" ht="12.75">
      <c r="B254" s="133"/>
      <c r="C254" s="270"/>
      <c r="D254" s="270"/>
      <c r="E254" s="270"/>
      <c r="F254" s="271"/>
      <c r="G254" s="271"/>
      <c r="H254" s="271"/>
      <c r="I254" s="271"/>
      <c r="J254" s="271"/>
    </row>
    <row r="255" spans="2:10" s="108" customFormat="1" ht="12.75">
      <c r="B255" s="133"/>
      <c r="C255" s="270"/>
      <c r="D255" s="270"/>
      <c r="E255" s="270"/>
      <c r="F255" s="271"/>
      <c r="G255" s="271"/>
      <c r="H255" s="271"/>
      <c r="I255" s="271"/>
      <c r="J255" s="271"/>
    </row>
    <row r="256" spans="2:10" s="108" customFormat="1" ht="12.75">
      <c r="B256" s="133"/>
      <c r="C256" s="270"/>
      <c r="D256" s="270"/>
      <c r="E256" s="270"/>
      <c r="F256" s="271"/>
      <c r="G256" s="271"/>
      <c r="H256" s="271"/>
      <c r="I256" s="271"/>
      <c r="J256" s="271"/>
    </row>
    <row r="257" spans="2:10" s="108" customFormat="1" ht="12.75">
      <c r="B257" s="133"/>
      <c r="C257" s="270"/>
      <c r="D257" s="270"/>
      <c r="E257" s="270"/>
      <c r="F257" s="271"/>
      <c r="G257" s="271"/>
      <c r="H257" s="271"/>
      <c r="I257" s="271"/>
      <c r="J257" s="271"/>
    </row>
    <row r="258" spans="2:10" s="108" customFormat="1" ht="12.75">
      <c r="B258" s="133"/>
      <c r="C258" s="270"/>
      <c r="D258" s="270"/>
      <c r="E258" s="270"/>
      <c r="F258" s="271"/>
      <c r="G258" s="271"/>
      <c r="H258" s="271"/>
      <c r="I258" s="271"/>
      <c r="J258" s="271"/>
    </row>
    <row r="259" spans="2:10" s="108" customFormat="1" ht="12.75">
      <c r="B259" s="133"/>
      <c r="C259" s="270"/>
      <c r="D259" s="270"/>
      <c r="E259" s="270"/>
      <c r="F259" s="271"/>
      <c r="G259" s="271"/>
      <c r="H259" s="271"/>
      <c r="I259" s="271"/>
      <c r="J259" s="271"/>
    </row>
    <row r="260" spans="2:10" s="108" customFormat="1" ht="12.75">
      <c r="B260" s="133"/>
      <c r="C260" s="270"/>
      <c r="D260" s="270"/>
      <c r="E260" s="270"/>
      <c r="F260" s="271"/>
      <c r="G260" s="271"/>
      <c r="H260" s="271"/>
      <c r="I260" s="271"/>
      <c r="J260" s="271"/>
    </row>
    <row r="261" spans="2:10" s="108" customFormat="1" ht="12.75">
      <c r="B261" s="133"/>
      <c r="C261" s="270"/>
      <c r="D261" s="270"/>
      <c r="E261" s="270"/>
      <c r="F261" s="271"/>
      <c r="G261" s="271"/>
      <c r="H261" s="271"/>
      <c r="I261" s="271"/>
      <c r="J261" s="271"/>
    </row>
    <row r="262" spans="2:10" s="108" customFormat="1" ht="12.75">
      <c r="B262" s="133"/>
      <c r="C262" s="270"/>
      <c r="D262" s="270"/>
      <c r="E262" s="270"/>
      <c r="F262" s="271"/>
      <c r="G262" s="271"/>
      <c r="H262" s="271"/>
      <c r="I262" s="271"/>
      <c r="J262" s="271"/>
    </row>
    <row r="263" spans="2:10" s="108" customFormat="1" ht="12.75">
      <c r="B263" s="133"/>
      <c r="C263" s="270"/>
      <c r="D263" s="270"/>
      <c r="E263" s="270"/>
      <c r="F263" s="271"/>
      <c r="G263" s="271"/>
      <c r="H263" s="271"/>
      <c r="I263" s="271"/>
      <c r="J263" s="271"/>
    </row>
    <row r="264" spans="2:10" s="108" customFormat="1" ht="12.75">
      <c r="B264" s="133"/>
      <c r="C264" s="270"/>
      <c r="D264" s="270"/>
      <c r="E264" s="270"/>
      <c r="F264" s="271"/>
      <c r="G264" s="271"/>
      <c r="H264" s="271"/>
      <c r="I264" s="271"/>
      <c r="J264" s="271"/>
    </row>
    <row r="265" spans="2:10" s="108" customFormat="1" ht="12.75">
      <c r="B265" s="133"/>
      <c r="C265" s="270"/>
      <c r="D265" s="270"/>
      <c r="E265" s="270"/>
      <c r="F265" s="271"/>
      <c r="G265" s="271"/>
      <c r="H265" s="271"/>
      <c r="I265" s="271"/>
      <c r="J265" s="271"/>
    </row>
    <row r="266" spans="2:10" s="108" customFormat="1" ht="12.75">
      <c r="B266" s="133"/>
      <c r="C266" s="270"/>
      <c r="D266" s="270"/>
      <c r="E266" s="270"/>
      <c r="F266" s="271"/>
      <c r="G266" s="271"/>
      <c r="H266" s="271"/>
      <c r="I266" s="271"/>
      <c r="J266" s="271"/>
    </row>
    <row r="267" spans="2:10" s="108" customFormat="1" ht="12.75">
      <c r="B267" s="133"/>
      <c r="C267" s="270"/>
      <c r="D267" s="270"/>
      <c r="E267" s="270"/>
      <c r="F267" s="271"/>
      <c r="G267" s="271"/>
      <c r="H267" s="271"/>
      <c r="I267" s="271"/>
      <c r="J267" s="271"/>
    </row>
    <row r="268" spans="2:10" s="108" customFormat="1" ht="12.75">
      <c r="B268" s="133"/>
      <c r="C268" s="270"/>
      <c r="D268" s="270"/>
      <c r="E268" s="270"/>
      <c r="F268" s="271"/>
      <c r="G268" s="271"/>
      <c r="H268" s="271"/>
      <c r="I268" s="271"/>
      <c r="J268" s="271"/>
    </row>
    <row r="269" spans="2:10" s="108" customFormat="1" ht="12.75">
      <c r="B269" s="133"/>
      <c r="C269" s="270"/>
      <c r="D269" s="270"/>
      <c r="E269" s="270"/>
      <c r="F269" s="271"/>
      <c r="G269" s="271"/>
      <c r="H269" s="271"/>
      <c r="I269" s="271"/>
      <c r="J269" s="271"/>
    </row>
    <row r="270" spans="2:10" s="108" customFormat="1" ht="12.75">
      <c r="B270" s="133"/>
      <c r="C270" s="270"/>
      <c r="D270" s="270"/>
      <c r="E270" s="270"/>
      <c r="F270" s="271"/>
      <c r="G270" s="271"/>
      <c r="H270" s="271"/>
      <c r="I270" s="271"/>
      <c r="J270" s="271"/>
    </row>
    <row r="271" spans="2:10" s="108" customFormat="1" ht="12.75">
      <c r="B271" s="133"/>
      <c r="C271" s="270"/>
      <c r="D271" s="270"/>
      <c r="E271" s="270"/>
      <c r="F271" s="271"/>
      <c r="G271" s="271"/>
      <c r="H271" s="271"/>
      <c r="I271" s="271"/>
      <c r="J271" s="271"/>
    </row>
    <row r="272" spans="2:10" s="108" customFormat="1" ht="12.75">
      <c r="B272" s="133"/>
      <c r="C272" s="270"/>
      <c r="D272" s="270"/>
      <c r="E272" s="270"/>
      <c r="F272" s="271"/>
      <c r="G272" s="271"/>
      <c r="H272" s="271"/>
      <c r="I272" s="271"/>
      <c r="J272" s="271"/>
    </row>
    <row r="273" spans="2:10" s="108" customFormat="1" ht="12.75">
      <c r="B273" s="133"/>
      <c r="C273" s="270"/>
      <c r="D273" s="270"/>
      <c r="E273" s="270"/>
      <c r="F273" s="271"/>
      <c r="G273" s="271"/>
      <c r="H273" s="271"/>
      <c r="I273" s="271"/>
      <c r="J273" s="271"/>
    </row>
    <row r="274" spans="2:10" s="108" customFormat="1" ht="12.75">
      <c r="B274" s="133"/>
      <c r="C274" s="270"/>
      <c r="D274" s="270"/>
      <c r="E274" s="270"/>
      <c r="F274" s="271"/>
      <c r="G274" s="271"/>
      <c r="H274" s="271"/>
      <c r="I274" s="271"/>
      <c r="J274" s="271"/>
    </row>
    <row r="275" spans="2:10" s="108" customFormat="1" ht="12.75">
      <c r="B275" s="133"/>
      <c r="C275" s="270"/>
      <c r="D275" s="270"/>
      <c r="E275" s="270"/>
      <c r="F275" s="271"/>
      <c r="G275" s="271"/>
      <c r="H275" s="271"/>
      <c r="I275" s="271"/>
      <c r="J275" s="271"/>
    </row>
    <row r="276" spans="2:10" s="108" customFormat="1" ht="12.75">
      <c r="B276" s="133"/>
      <c r="C276" s="270"/>
      <c r="D276" s="270"/>
      <c r="E276" s="270"/>
      <c r="F276" s="271"/>
      <c r="G276" s="271"/>
      <c r="H276" s="271"/>
      <c r="I276" s="271"/>
      <c r="J276" s="271"/>
    </row>
    <row r="277" spans="2:10" s="108" customFormat="1" ht="12.75">
      <c r="B277" s="133"/>
      <c r="C277" s="270"/>
      <c r="D277" s="270"/>
      <c r="E277" s="270"/>
      <c r="F277" s="271"/>
      <c r="G277" s="271"/>
      <c r="H277" s="271"/>
      <c r="I277" s="271"/>
      <c r="J277" s="271"/>
    </row>
    <row r="278" spans="2:10" s="108" customFormat="1" ht="12.75">
      <c r="B278" s="133"/>
      <c r="C278" s="270"/>
      <c r="D278" s="270"/>
      <c r="E278" s="270"/>
      <c r="F278" s="271"/>
      <c r="G278" s="271"/>
      <c r="H278" s="271"/>
      <c r="I278" s="271"/>
      <c r="J278" s="271"/>
    </row>
    <row r="279" spans="2:10" s="108" customFormat="1" ht="12.75">
      <c r="B279" s="133"/>
      <c r="C279" s="270"/>
      <c r="D279" s="270"/>
      <c r="E279" s="270"/>
      <c r="F279" s="271"/>
      <c r="G279" s="271"/>
      <c r="H279" s="271"/>
      <c r="I279" s="271"/>
      <c r="J279" s="271"/>
    </row>
    <row r="280" spans="2:10" s="108" customFormat="1" ht="12.75">
      <c r="B280" s="133"/>
      <c r="C280" s="270"/>
      <c r="D280" s="270"/>
      <c r="E280" s="270"/>
      <c r="F280" s="271"/>
      <c r="G280" s="271"/>
      <c r="H280" s="271"/>
      <c r="I280" s="271"/>
      <c r="J280" s="271"/>
    </row>
    <row r="281" spans="2:10" s="108" customFormat="1" ht="12.75">
      <c r="B281" s="133"/>
      <c r="C281" s="270"/>
      <c r="D281" s="270"/>
      <c r="E281" s="270"/>
      <c r="F281" s="271"/>
      <c r="G281" s="271"/>
      <c r="H281" s="271"/>
      <c r="I281" s="271"/>
      <c r="J281" s="271"/>
    </row>
    <row r="282" spans="2:10" s="108" customFormat="1" ht="12.75">
      <c r="B282" s="133"/>
      <c r="C282" s="270"/>
      <c r="D282" s="270"/>
      <c r="E282" s="270"/>
      <c r="F282" s="271"/>
      <c r="G282" s="271"/>
      <c r="H282" s="271"/>
      <c r="I282" s="271"/>
      <c r="J282" s="271"/>
    </row>
    <row r="283" spans="2:10" s="108" customFormat="1" ht="12.75">
      <c r="B283" s="133"/>
      <c r="C283" s="270"/>
      <c r="D283" s="270"/>
      <c r="E283" s="270"/>
      <c r="F283" s="271"/>
      <c r="G283" s="271"/>
      <c r="H283" s="271"/>
      <c r="I283" s="271"/>
      <c r="J283" s="271"/>
    </row>
    <row r="284" spans="2:10" s="108" customFormat="1" ht="12.75">
      <c r="B284" s="133"/>
      <c r="C284" s="270"/>
      <c r="D284" s="270"/>
      <c r="E284" s="270"/>
      <c r="F284" s="271"/>
      <c r="G284" s="271"/>
      <c r="H284" s="271"/>
      <c r="I284" s="271"/>
      <c r="J284" s="271"/>
    </row>
    <row r="285" spans="2:10" s="108" customFormat="1" ht="12.75">
      <c r="B285" s="133"/>
      <c r="C285" s="270"/>
      <c r="D285" s="270"/>
      <c r="E285" s="270"/>
      <c r="F285" s="271"/>
      <c r="G285" s="271"/>
      <c r="H285" s="271"/>
      <c r="I285" s="271"/>
      <c r="J285" s="271"/>
    </row>
    <row r="286" spans="2:10" s="108" customFormat="1" ht="12.75">
      <c r="B286" s="133"/>
      <c r="C286" s="270"/>
      <c r="D286" s="270"/>
      <c r="E286" s="270"/>
      <c r="F286" s="271"/>
      <c r="G286" s="271"/>
      <c r="H286" s="271"/>
      <c r="I286" s="271"/>
      <c r="J286" s="271"/>
    </row>
    <row r="287" spans="2:10" s="108" customFormat="1" ht="12.75">
      <c r="B287" s="133"/>
      <c r="C287" s="270"/>
      <c r="D287" s="270"/>
      <c r="E287" s="270"/>
      <c r="F287" s="271"/>
      <c r="G287" s="271"/>
      <c r="H287" s="271"/>
      <c r="I287" s="271"/>
      <c r="J287" s="271"/>
    </row>
    <row r="288" spans="2:10" s="108" customFormat="1" ht="12.75">
      <c r="B288" s="133"/>
      <c r="C288" s="270"/>
      <c r="D288" s="270"/>
      <c r="E288" s="270"/>
      <c r="F288" s="271"/>
      <c r="G288" s="271"/>
      <c r="H288" s="271"/>
      <c r="I288" s="271"/>
      <c r="J288" s="271"/>
    </row>
    <row r="289" spans="2:10" s="108" customFormat="1" ht="12.75">
      <c r="B289" s="133"/>
      <c r="C289" s="270"/>
      <c r="D289" s="270"/>
      <c r="E289" s="270"/>
      <c r="F289" s="271"/>
      <c r="G289" s="271"/>
      <c r="H289" s="271"/>
      <c r="I289" s="271"/>
      <c r="J289" s="271"/>
    </row>
    <row r="290" spans="2:10" s="108" customFormat="1" ht="12.75">
      <c r="B290" s="133"/>
      <c r="C290" s="270"/>
      <c r="D290" s="270"/>
      <c r="E290" s="270"/>
      <c r="F290" s="271"/>
      <c r="G290" s="271"/>
      <c r="H290" s="271"/>
      <c r="I290" s="271"/>
      <c r="J290" s="271"/>
    </row>
    <row r="291" spans="2:10" s="108" customFormat="1" ht="12.75">
      <c r="B291" s="133"/>
      <c r="C291" s="270"/>
      <c r="D291" s="270"/>
      <c r="E291" s="270"/>
      <c r="F291" s="271"/>
      <c r="G291" s="271"/>
      <c r="H291" s="271"/>
      <c r="I291" s="271"/>
      <c r="J291" s="271"/>
    </row>
    <row r="292" spans="2:10" s="108" customFormat="1" ht="12.75">
      <c r="B292" s="133"/>
      <c r="C292" s="270"/>
      <c r="D292" s="270"/>
      <c r="E292" s="270"/>
      <c r="F292" s="271"/>
      <c r="G292" s="271"/>
      <c r="H292" s="271"/>
      <c r="I292" s="271"/>
      <c r="J292" s="271"/>
    </row>
    <row r="293" spans="2:10" s="108" customFormat="1" ht="12.75">
      <c r="B293" s="133"/>
      <c r="C293" s="270"/>
      <c r="D293" s="270"/>
      <c r="E293" s="270"/>
      <c r="F293" s="271"/>
      <c r="G293" s="271"/>
      <c r="H293" s="271"/>
      <c r="I293" s="271"/>
      <c r="J293" s="271"/>
    </row>
    <row r="294" spans="2:10" s="108" customFormat="1" ht="12.75">
      <c r="B294" s="133"/>
      <c r="C294" s="270"/>
      <c r="D294" s="270"/>
      <c r="E294" s="270"/>
      <c r="F294" s="271"/>
      <c r="G294" s="271"/>
      <c r="H294" s="271"/>
      <c r="I294" s="271"/>
      <c r="J294" s="271"/>
    </row>
    <row r="295" spans="2:10" s="108" customFormat="1" ht="12.75">
      <c r="B295" s="133"/>
      <c r="C295" s="270"/>
      <c r="D295" s="270"/>
      <c r="E295" s="270"/>
      <c r="F295" s="271"/>
      <c r="G295" s="271"/>
      <c r="H295" s="271"/>
      <c r="I295" s="271"/>
      <c r="J295" s="271"/>
    </row>
    <row r="296" spans="2:10" s="108" customFormat="1" ht="12.75">
      <c r="B296" s="133"/>
      <c r="C296" s="270"/>
      <c r="D296" s="270"/>
      <c r="E296" s="270"/>
      <c r="F296" s="271"/>
      <c r="G296" s="271"/>
      <c r="H296" s="271"/>
      <c r="I296" s="271"/>
      <c r="J296" s="271"/>
    </row>
    <row r="297" spans="2:10" s="108" customFormat="1" ht="12.75">
      <c r="B297" s="133"/>
      <c r="C297" s="270"/>
      <c r="D297" s="270"/>
      <c r="E297" s="270"/>
      <c r="F297" s="271"/>
      <c r="G297" s="271"/>
      <c r="H297" s="271"/>
      <c r="I297" s="271"/>
      <c r="J297" s="271"/>
    </row>
    <row r="298" spans="2:10" s="108" customFormat="1" ht="12.75">
      <c r="B298" s="133"/>
      <c r="C298" s="270"/>
      <c r="D298" s="270"/>
      <c r="E298" s="270"/>
      <c r="F298" s="271"/>
      <c r="G298" s="271"/>
      <c r="H298" s="271"/>
      <c r="I298" s="271"/>
      <c r="J298" s="271"/>
    </row>
    <row r="299" spans="2:10" s="108" customFormat="1" ht="12.75">
      <c r="B299" s="133"/>
      <c r="C299" s="270"/>
      <c r="D299" s="270"/>
      <c r="E299" s="270"/>
      <c r="F299" s="271"/>
      <c r="G299" s="271"/>
      <c r="H299" s="271"/>
      <c r="I299" s="271"/>
      <c r="J299" s="271"/>
    </row>
    <row r="300" spans="2:10" s="108" customFormat="1" ht="12.75">
      <c r="B300" s="133"/>
      <c r="C300" s="270"/>
      <c r="D300" s="270"/>
      <c r="E300" s="270"/>
      <c r="F300" s="271"/>
      <c r="G300" s="271"/>
      <c r="H300" s="271"/>
      <c r="I300" s="271"/>
      <c r="J300" s="271"/>
    </row>
    <row r="301" spans="2:10" s="108" customFormat="1" ht="12.75">
      <c r="B301" s="133"/>
      <c r="C301" s="270"/>
      <c r="D301" s="270"/>
      <c r="E301" s="270"/>
      <c r="F301" s="271"/>
      <c r="G301" s="271"/>
      <c r="H301" s="271"/>
      <c r="I301" s="271"/>
      <c r="J301" s="271"/>
    </row>
    <row r="302" spans="2:10" s="108" customFormat="1" ht="12.75">
      <c r="B302" s="133"/>
      <c r="C302" s="270"/>
      <c r="D302" s="270"/>
      <c r="E302" s="270"/>
      <c r="F302" s="271"/>
      <c r="G302" s="271"/>
      <c r="H302" s="271"/>
      <c r="I302" s="271"/>
      <c r="J302" s="271"/>
    </row>
    <row r="303" spans="2:10" s="108" customFormat="1" ht="12.75">
      <c r="B303" s="133"/>
      <c r="C303" s="270"/>
      <c r="D303" s="270"/>
      <c r="E303" s="270"/>
      <c r="F303" s="271"/>
      <c r="G303" s="271"/>
      <c r="H303" s="271"/>
      <c r="I303" s="271"/>
      <c r="J303" s="271"/>
    </row>
    <row r="304" spans="2:10" s="108" customFormat="1" ht="12.75">
      <c r="B304" s="133"/>
      <c r="C304" s="270"/>
      <c r="D304" s="270"/>
      <c r="E304" s="270"/>
      <c r="F304" s="271"/>
      <c r="G304" s="271"/>
      <c r="H304" s="271"/>
      <c r="I304" s="271"/>
      <c r="J304" s="271"/>
    </row>
    <row r="305" spans="2:10" s="108" customFormat="1" ht="12.75">
      <c r="B305" s="133"/>
      <c r="C305" s="270"/>
      <c r="D305" s="270"/>
      <c r="E305" s="270"/>
      <c r="F305" s="271"/>
      <c r="G305" s="271"/>
      <c r="H305" s="271"/>
      <c r="I305" s="271"/>
      <c r="J305" s="271"/>
    </row>
    <row r="306" spans="2:10" s="108" customFormat="1" ht="12.75">
      <c r="B306" s="133"/>
      <c r="C306" s="270"/>
      <c r="D306" s="270"/>
      <c r="E306" s="270"/>
      <c r="F306" s="271"/>
      <c r="G306" s="271"/>
      <c r="H306" s="271"/>
      <c r="I306" s="271"/>
      <c r="J306" s="271"/>
    </row>
    <row r="307" spans="2:10" s="108" customFormat="1" ht="12.75">
      <c r="B307" s="133"/>
      <c r="C307" s="270"/>
      <c r="D307" s="270"/>
      <c r="E307" s="270"/>
      <c r="F307" s="271"/>
      <c r="G307" s="271"/>
      <c r="H307" s="271"/>
      <c r="I307" s="271"/>
      <c r="J307" s="271"/>
    </row>
    <row r="308" spans="2:10" s="108" customFormat="1" ht="12.75">
      <c r="B308" s="133"/>
      <c r="C308" s="270"/>
      <c r="D308" s="270"/>
      <c r="E308" s="270"/>
      <c r="F308" s="271"/>
      <c r="G308" s="271"/>
      <c r="H308" s="271"/>
      <c r="I308" s="271"/>
      <c r="J308" s="271"/>
    </row>
    <row r="309" spans="2:10" s="108" customFormat="1" ht="12.75">
      <c r="B309" s="133"/>
      <c r="C309" s="270"/>
      <c r="D309" s="270"/>
      <c r="E309" s="270"/>
      <c r="F309" s="271"/>
      <c r="G309" s="271"/>
      <c r="H309" s="271"/>
      <c r="I309" s="271"/>
      <c r="J309" s="271"/>
    </row>
    <row r="310" spans="2:10" s="108" customFormat="1" ht="12.75">
      <c r="B310" s="133"/>
      <c r="C310" s="270"/>
      <c r="D310" s="270"/>
      <c r="E310" s="270"/>
      <c r="F310" s="271"/>
      <c r="G310" s="271"/>
      <c r="H310" s="271"/>
      <c r="I310" s="271"/>
      <c r="J310" s="271"/>
    </row>
    <row r="311" spans="2:10" s="108" customFormat="1" ht="12.75">
      <c r="B311" s="133"/>
      <c r="C311" s="270"/>
      <c r="D311" s="270"/>
      <c r="E311" s="270"/>
      <c r="F311" s="271"/>
      <c r="G311" s="271"/>
      <c r="H311" s="271"/>
      <c r="I311" s="271"/>
      <c r="J311" s="271"/>
    </row>
    <row r="312" spans="2:10" s="108" customFormat="1" ht="12.75">
      <c r="B312" s="133"/>
      <c r="C312" s="270"/>
      <c r="D312" s="270"/>
      <c r="E312" s="270"/>
      <c r="F312" s="271"/>
      <c r="G312" s="271"/>
      <c r="H312" s="271"/>
      <c r="I312" s="271"/>
      <c r="J312" s="271"/>
    </row>
    <row r="313" spans="2:10" s="108" customFormat="1" ht="12.75">
      <c r="B313" s="133"/>
      <c r="C313" s="270"/>
      <c r="D313" s="270"/>
      <c r="E313" s="270"/>
      <c r="F313" s="271"/>
      <c r="G313" s="271"/>
      <c r="H313" s="271"/>
      <c r="I313" s="271"/>
      <c r="J313" s="271"/>
    </row>
    <row r="314" spans="2:10" s="108" customFormat="1" ht="12.75">
      <c r="B314" s="133"/>
      <c r="C314" s="270"/>
      <c r="D314" s="270"/>
      <c r="E314" s="270"/>
      <c r="F314" s="271"/>
      <c r="G314" s="271"/>
      <c r="H314" s="271"/>
      <c r="I314" s="271"/>
      <c r="J314" s="271"/>
    </row>
    <row r="315" spans="2:10" s="108" customFormat="1" ht="12.75">
      <c r="B315" s="133"/>
      <c r="C315" s="270"/>
      <c r="D315" s="270"/>
      <c r="E315" s="270"/>
      <c r="F315" s="271"/>
      <c r="G315" s="271"/>
      <c r="H315" s="271"/>
      <c r="I315" s="271"/>
      <c r="J315" s="271"/>
    </row>
    <row r="316" spans="2:10" s="108" customFormat="1" ht="12.75">
      <c r="B316" s="133"/>
      <c r="C316" s="270"/>
      <c r="D316" s="270"/>
      <c r="E316" s="270"/>
      <c r="F316" s="271"/>
      <c r="G316" s="271"/>
      <c r="H316" s="271"/>
      <c r="I316" s="271"/>
      <c r="J316" s="271"/>
    </row>
    <row r="317" spans="2:10" s="108" customFormat="1" ht="12.75">
      <c r="B317" s="133"/>
      <c r="C317" s="270"/>
      <c r="D317" s="270"/>
      <c r="E317" s="270"/>
      <c r="F317" s="271"/>
      <c r="G317" s="271"/>
      <c r="H317" s="271"/>
      <c r="I317" s="271"/>
      <c r="J317" s="271"/>
    </row>
    <row r="318" spans="2:10" s="108" customFormat="1" ht="12.75">
      <c r="B318" s="133"/>
      <c r="C318" s="270"/>
      <c r="D318" s="270"/>
      <c r="E318" s="270"/>
      <c r="F318" s="271"/>
      <c r="G318" s="271"/>
      <c r="H318" s="271"/>
      <c r="I318" s="271"/>
      <c r="J318" s="271"/>
    </row>
    <row r="319" spans="2:10" s="108" customFormat="1" ht="12.75">
      <c r="B319" s="133"/>
      <c r="C319" s="270"/>
      <c r="D319" s="270"/>
      <c r="E319" s="270"/>
      <c r="F319" s="271"/>
      <c r="G319" s="271"/>
      <c r="H319" s="271"/>
      <c r="I319" s="271"/>
      <c r="J319" s="271"/>
    </row>
    <row r="320" spans="2:10" s="108" customFormat="1" ht="12.75">
      <c r="B320" s="133"/>
      <c r="C320" s="270"/>
      <c r="D320" s="270"/>
      <c r="E320" s="270"/>
      <c r="F320" s="271"/>
      <c r="G320" s="271"/>
      <c r="H320" s="271"/>
      <c r="I320" s="271"/>
      <c r="J320" s="271"/>
    </row>
    <row r="321" spans="2:10" s="108" customFormat="1" ht="12.75">
      <c r="B321" s="133"/>
      <c r="C321" s="270"/>
      <c r="D321" s="270"/>
      <c r="E321" s="270"/>
      <c r="F321" s="271"/>
      <c r="G321" s="271"/>
      <c r="H321" s="271"/>
      <c r="I321" s="271"/>
      <c r="J321" s="271"/>
    </row>
    <row r="322" spans="2:10" s="108" customFormat="1" ht="12.75">
      <c r="B322" s="133"/>
      <c r="C322" s="270"/>
      <c r="D322" s="270"/>
      <c r="E322" s="270"/>
      <c r="F322" s="271"/>
      <c r="G322" s="271"/>
      <c r="H322" s="271"/>
      <c r="I322" s="271"/>
      <c r="J322" s="271"/>
    </row>
    <row r="323" spans="2:10" s="108" customFormat="1" ht="12.75">
      <c r="B323" s="133"/>
      <c r="C323" s="270"/>
      <c r="D323" s="270"/>
      <c r="E323" s="270"/>
      <c r="F323" s="271"/>
      <c r="G323" s="271"/>
      <c r="H323" s="271"/>
      <c r="I323" s="271"/>
      <c r="J323" s="271"/>
    </row>
    <row r="324" spans="2:10" s="108" customFormat="1" ht="12.75">
      <c r="B324" s="133"/>
      <c r="C324" s="270"/>
      <c r="D324" s="270"/>
      <c r="E324" s="270"/>
      <c r="F324" s="271"/>
      <c r="G324" s="271"/>
      <c r="H324" s="271"/>
      <c r="I324" s="271"/>
      <c r="J324" s="271"/>
    </row>
    <row r="325" spans="2:10" s="108" customFormat="1" ht="12.75">
      <c r="B325" s="133"/>
      <c r="C325" s="270"/>
      <c r="D325" s="270"/>
      <c r="E325" s="270"/>
      <c r="F325" s="271"/>
      <c r="G325" s="271"/>
      <c r="H325" s="271"/>
      <c r="I325" s="271"/>
      <c r="J325" s="271"/>
    </row>
    <row r="326" spans="2:10" s="108" customFormat="1" ht="12.75">
      <c r="B326" s="133"/>
      <c r="C326" s="270"/>
      <c r="D326" s="270"/>
      <c r="E326" s="270"/>
      <c r="F326" s="271"/>
      <c r="G326" s="271"/>
      <c r="H326" s="271"/>
      <c r="I326" s="271"/>
      <c r="J326" s="271"/>
    </row>
    <row r="327" spans="2:10" s="108" customFormat="1" ht="12.75">
      <c r="B327" s="133"/>
      <c r="C327" s="270"/>
      <c r="D327" s="270"/>
      <c r="E327" s="270"/>
      <c r="F327" s="271"/>
      <c r="G327" s="271"/>
      <c r="H327" s="271"/>
      <c r="I327" s="271"/>
      <c r="J327" s="271"/>
    </row>
    <row r="328" spans="2:10" s="108" customFormat="1" ht="12.75">
      <c r="B328" s="133"/>
      <c r="C328" s="270"/>
      <c r="D328" s="270"/>
      <c r="E328" s="270"/>
      <c r="F328" s="271"/>
      <c r="G328" s="271"/>
      <c r="H328" s="271"/>
      <c r="I328" s="271"/>
      <c r="J328" s="271"/>
    </row>
    <row r="329" spans="2:10" s="108" customFormat="1" ht="12.75">
      <c r="B329" s="133"/>
      <c r="C329" s="270"/>
      <c r="D329" s="270"/>
      <c r="E329" s="270"/>
      <c r="F329" s="271"/>
      <c r="G329" s="271"/>
      <c r="H329" s="271"/>
      <c r="I329" s="271"/>
      <c r="J329" s="271"/>
    </row>
    <row r="330" spans="2:10" s="108" customFormat="1" ht="12.75">
      <c r="B330" s="133"/>
      <c r="C330" s="270"/>
      <c r="D330" s="270"/>
      <c r="E330" s="270"/>
      <c r="F330" s="271"/>
      <c r="G330" s="271"/>
      <c r="H330" s="271"/>
      <c r="I330" s="271"/>
      <c r="J330" s="271"/>
    </row>
    <row r="331" spans="2:10" s="108" customFormat="1" ht="12.75">
      <c r="B331" s="133"/>
      <c r="C331" s="270"/>
      <c r="D331" s="270"/>
      <c r="E331" s="270"/>
      <c r="F331" s="271"/>
      <c r="G331" s="271"/>
      <c r="H331" s="271"/>
      <c r="I331" s="271"/>
      <c r="J331" s="271"/>
    </row>
    <row r="332" spans="2:10" s="108" customFormat="1" ht="12.75">
      <c r="B332" s="133"/>
      <c r="C332" s="270"/>
      <c r="D332" s="270"/>
      <c r="E332" s="270"/>
      <c r="F332" s="271"/>
      <c r="G332" s="271"/>
      <c r="H332" s="271"/>
      <c r="I332" s="271"/>
      <c r="J332" s="271"/>
    </row>
    <row r="333" spans="2:10" s="108" customFormat="1" ht="12.75">
      <c r="B333" s="133"/>
      <c r="C333" s="270"/>
      <c r="D333" s="270"/>
      <c r="E333" s="270"/>
      <c r="F333" s="271"/>
      <c r="G333" s="271"/>
      <c r="H333" s="271"/>
      <c r="I333" s="271"/>
      <c r="J333" s="271"/>
    </row>
    <row r="334" spans="2:10" s="108" customFormat="1" ht="12.75">
      <c r="B334" s="133"/>
      <c r="C334" s="270"/>
      <c r="D334" s="270"/>
      <c r="E334" s="270"/>
      <c r="F334" s="271"/>
      <c r="G334" s="271"/>
      <c r="H334" s="271"/>
      <c r="I334" s="271"/>
      <c r="J334" s="271"/>
    </row>
    <row r="335" spans="2:10" s="108" customFormat="1" ht="12.75">
      <c r="B335" s="133"/>
      <c r="C335" s="270"/>
      <c r="D335" s="270"/>
      <c r="E335" s="270"/>
      <c r="F335" s="271"/>
      <c r="G335" s="271"/>
      <c r="H335" s="271"/>
      <c r="I335" s="271"/>
      <c r="J335" s="271"/>
    </row>
    <row r="336" spans="2:10" s="108" customFormat="1" ht="12.75">
      <c r="B336" s="133"/>
      <c r="C336" s="270"/>
      <c r="D336" s="270"/>
      <c r="E336" s="270"/>
      <c r="F336" s="271"/>
      <c r="G336" s="271"/>
      <c r="H336" s="271"/>
      <c r="I336" s="271"/>
      <c r="J336" s="271"/>
    </row>
    <row r="337" spans="2:10" s="108" customFormat="1" ht="12.75">
      <c r="B337" s="133"/>
      <c r="C337" s="270"/>
      <c r="D337" s="270"/>
      <c r="E337" s="270"/>
      <c r="F337" s="271"/>
      <c r="G337" s="271"/>
      <c r="H337" s="271"/>
      <c r="I337" s="271"/>
      <c r="J337" s="271"/>
    </row>
    <row r="338" spans="2:10" s="108" customFormat="1" ht="12.75">
      <c r="B338" s="133"/>
      <c r="C338" s="270"/>
      <c r="D338" s="270"/>
      <c r="E338" s="270"/>
      <c r="F338" s="271"/>
      <c r="G338" s="271"/>
      <c r="H338" s="271"/>
      <c r="I338" s="271"/>
      <c r="J338" s="271"/>
    </row>
    <row r="339" spans="2:10" s="108" customFormat="1" ht="12.75">
      <c r="B339" s="133"/>
      <c r="C339" s="270"/>
      <c r="D339" s="270"/>
      <c r="E339" s="270"/>
      <c r="F339" s="271"/>
      <c r="G339" s="271"/>
      <c r="H339" s="271"/>
      <c r="I339" s="271"/>
      <c r="J339" s="271"/>
    </row>
    <row r="340" spans="2:10" s="108" customFormat="1" ht="12.75">
      <c r="B340" s="133"/>
      <c r="C340" s="270"/>
      <c r="D340" s="270"/>
      <c r="E340" s="270"/>
      <c r="F340" s="271"/>
      <c r="G340" s="271"/>
      <c r="H340" s="271"/>
      <c r="I340" s="271"/>
      <c r="J340" s="271"/>
    </row>
    <row r="341" spans="2:10" s="108" customFormat="1" ht="12.75">
      <c r="B341" s="133"/>
      <c r="C341" s="270"/>
      <c r="D341" s="270"/>
      <c r="E341" s="270"/>
      <c r="F341" s="271"/>
      <c r="G341" s="271"/>
      <c r="H341" s="271"/>
      <c r="I341" s="271"/>
      <c r="J341" s="271"/>
    </row>
    <row r="342" spans="2:10" s="108" customFormat="1" ht="12.75">
      <c r="B342" s="133"/>
      <c r="C342" s="270"/>
      <c r="D342" s="270"/>
      <c r="E342" s="270"/>
      <c r="F342" s="271"/>
      <c r="G342" s="271"/>
      <c r="H342" s="271"/>
      <c r="I342" s="271"/>
      <c r="J342" s="271"/>
    </row>
    <row r="343" spans="2:10" s="108" customFormat="1" ht="12.75">
      <c r="B343" s="133"/>
      <c r="C343" s="270"/>
      <c r="D343" s="270"/>
      <c r="E343" s="270"/>
      <c r="F343" s="271"/>
      <c r="G343" s="271"/>
      <c r="H343" s="271"/>
      <c r="I343" s="271"/>
      <c r="J343" s="271"/>
    </row>
    <row r="344" spans="2:10" s="108" customFormat="1" ht="12.75">
      <c r="B344" s="133"/>
      <c r="C344" s="270"/>
      <c r="D344" s="270"/>
      <c r="E344" s="270"/>
      <c r="F344" s="271"/>
      <c r="G344" s="271"/>
      <c r="H344" s="271"/>
      <c r="I344" s="271"/>
      <c r="J344" s="271"/>
    </row>
    <row r="345" spans="2:10" s="108" customFormat="1" ht="12.75">
      <c r="B345" s="133"/>
      <c r="C345" s="270"/>
      <c r="D345" s="270"/>
      <c r="E345" s="270"/>
      <c r="F345" s="271"/>
      <c r="G345" s="271"/>
      <c r="H345" s="271"/>
      <c r="I345" s="271"/>
      <c r="J345" s="271"/>
    </row>
    <row r="346" spans="2:10" s="108" customFormat="1" ht="12.75">
      <c r="B346" s="133"/>
      <c r="C346" s="270"/>
      <c r="D346" s="270"/>
      <c r="E346" s="270"/>
      <c r="F346" s="271"/>
      <c r="G346" s="271"/>
      <c r="H346" s="271"/>
      <c r="I346" s="271"/>
      <c r="J346" s="271"/>
    </row>
    <row r="347" spans="2:10" s="108" customFormat="1" ht="12.75">
      <c r="B347" s="133"/>
      <c r="C347" s="270"/>
      <c r="D347" s="270"/>
      <c r="E347" s="270"/>
      <c r="F347" s="271"/>
      <c r="G347" s="271"/>
      <c r="H347" s="271"/>
      <c r="I347" s="271"/>
      <c r="J347" s="271"/>
    </row>
    <row r="348" spans="2:10" s="108" customFormat="1" ht="12.75">
      <c r="B348" s="133"/>
      <c r="C348" s="270"/>
      <c r="D348" s="270"/>
      <c r="E348" s="270"/>
      <c r="F348" s="271"/>
      <c r="G348" s="271"/>
      <c r="H348" s="271"/>
      <c r="I348" s="271"/>
      <c r="J348" s="271"/>
    </row>
    <row r="349" spans="2:10" s="108" customFormat="1" ht="12.75">
      <c r="B349" s="133"/>
      <c r="C349" s="270"/>
      <c r="D349" s="270"/>
      <c r="E349" s="270"/>
      <c r="F349" s="271"/>
      <c r="G349" s="271"/>
      <c r="H349" s="271"/>
      <c r="I349" s="271"/>
      <c r="J349" s="271"/>
    </row>
    <row r="350" spans="2:10" s="108" customFormat="1" ht="12.75">
      <c r="B350" s="133"/>
      <c r="C350" s="270"/>
      <c r="D350" s="270"/>
      <c r="E350" s="270"/>
      <c r="F350" s="271"/>
      <c r="G350" s="271"/>
      <c r="H350" s="271"/>
      <c r="I350" s="271"/>
      <c r="J350" s="271"/>
    </row>
    <row r="351" spans="2:10" s="108" customFormat="1" ht="12.75">
      <c r="B351" s="133"/>
      <c r="C351" s="270"/>
      <c r="D351" s="270"/>
      <c r="E351" s="270"/>
      <c r="F351" s="271"/>
      <c r="G351" s="271"/>
      <c r="H351" s="271"/>
      <c r="I351" s="271"/>
      <c r="J351" s="271"/>
    </row>
    <row r="352" spans="2:10" s="108" customFormat="1" ht="12.75">
      <c r="B352" s="133"/>
      <c r="C352" s="270"/>
      <c r="D352" s="270"/>
      <c r="E352" s="270"/>
      <c r="F352" s="271"/>
      <c r="G352" s="271"/>
      <c r="H352" s="271"/>
      <c r="I352" s="271"/>
      <c r="J352" s="271"/>
    </row>
    <row r="353" spans="2:10" s="108" customFormat="1" ht="12.75">
      <c r="B353" s="133"/>
      <c r="C353" s="270"/>
      <c r="D353" s="270"/>
      <c r="E353" s="270"/>
      <c r="F353" s="271"/>
      <c r="G353" s="271"/>
      <c r="H353" s="271"/>
      <c r="I353" s="271"/>
      <c r="J353" s="271"/>
    </row>
    <row r="354" spans="2:10" s="108" customFormat="1" ht="12.75">
      <c r="B354" s="133"/>
      <c r="C354" s="270"/>
      <c r="D354" s="270"/>
      <c r="E354" s="270"/>
      <c r="F354" s="271"/>
      <c r="G354" s="271"/>
      <c r="H354" s="271"/>
      <c r="I354" s="271"/>
      <c r="J354" s="271"/>
    </row>
    <row r="355" spans="2:10" s="108" customFormat="1" ht="12.75">
      <c r="B355" s="133"/>
      <c r="C355" s="270"/>
      <c r="D355" s="270"/>
      <c r="E355" s="270"/>
      <c r="F355" s="271"/>
      <c r="G355" s="271"/>
      <c r="H355" s="271"/>
      <c r="I355" s="271"/>
      <c r="J355" s="271"/>
    </row>
  </sheetData>
  <sheetProtection/>
  <dataValidations count="7">
    <dataValidation type="list" allowBlank="1" showInputMessage="1" showErrorMessage="1" sqref="D88:D90">
      <formula1>YN</formula1>
    </dataValidation>
    <dataValidation type="list" allowBlank="1" showInputMessage="1" showErrorMessage="1" sqref="D28">
      <formula1>DOM_SYS_CONFIG</formula1>
    </dataValidation>
    <dataValidation type="list" allowBlank="1" showInputMessage="1" showErrorMessage="1" sqref="D71">
      <formula1>EMITTER_NONDOM</formula1>
    </dataValidation>
    <dataValidation type="list" allowBlank="1" showInputMessage="1" showErrorMessage="1" sqref="D31">
      <formula1>DHW_SOURCE</formula1>
    </dataValidation>
    <dataValidation type="list" allowBlank="1" showInputMessage="1" showErrorMessage="1" sqref="D26">
      <formula1>EMITTER</formula1>
    </dataValidation>
    <dataValidation type="list" allowBlank="1" showInputMessage="1" showErrorMessage="1" sqref="D34:D36">
      <formula1>YNU</formula1>
    </dataValidation>
    <dataValidation type="whole" operator="greaterThanOrEqual" allowBlank="1" showInputMessage="1" showErrorMessage="1" sqref="D119:D146 D148:D175 C43:E64">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tabColor rgb="FF92D050"/>
  </sheetPr>
  <dimension ref="B2:AA68"/>
  <sheetViews>
    <sheetView zoomScale="90" zoomScaleNormal="90" zoomScalePageLayoutView="0" workbookViewId="0" topLeftCell="A1">
      <selection activeCell="C66" sqref="C66"/>
    </sheetView>
  </sheetViews>
  <sheetFormatPr defaultColWidth="9.140625" defaultRowHeight="12.75"/>
  <cols>
    <col min="1" max="16384" width="9.140625" style="39" customWidth="1"/>
  </cols>
  <sheetData>
    <row r="2" ht="12.75">
      <c r="B2" s="39" t="s">
        <v>51</v>
      </c>
    </row>
    <row r="4" spans="2:27" ht="12.75">
      <c r="B4" s="39" t="s">
        <v>57</v>
      </c>
      <c r="D4" s="39" t="s">
        <v>36</v>
      </c>
      <c r="F4" s="39" t="s">
        <v>55</v>
      </c>
      <c r="H4" s="39" t="s">
        <v>56</v>
      </c>
      <c r="K4" s="39" t="s">
        <v>156</v>
      </c>
      <c r="O4" s="39" t="s">
        <v>60</v>
      </c>
      <c r="Q4" s="39" t="s">
        <v>70</v>
      </c>
      <c r="T4" s="39" t="s">
        <v>0</v>
      </c>
      <c r="V4" s="39" t="s">
        <v>62</v>
      </c>
      <c r="X4" s="39" t="s">
        <v>66</v>
      </c>
      <c r="Y4" s="39" t="s">
        <v>230</v>
      </c>
      <c r="Z4" s="39" t="s">
        <v>107</v>
      </c>
      <c r="AA4" s="39" t="s">
        <v>166</v>
      </c>
    </row>
    <row r="5" spans="2:27" ht="12.75">
      <c r="B5" s="39" t="s">
        <v>97</v>
      </c>
      <c r="D5" s="39" t="s">
        <v>98</v>
      </c>
      <c r="F5" s="39" t="s">
        <v>99</v>
      </c>
      <c r="H5" s="39" t="s">
        <v>100</v>
      </c>
      <c r="K5" s="39" t="s">
        <v>101</v>
      </c>
      <c r="O5" s="39" t="s">
        <v>102</v>
      </c>
      <c r="Q5" s="39" t="s">
        <v>103</v>
      </c>
      <c r="T5" s="39" t="s">
        <v>105</v>
      </c>
      <c r="V5" s="39" t="s">
        <v>104</v>
      </c>
      <c r="X5" s="39" t="s">
        <v>106</v>
      </c>
      <c r="Y5" s="39" t="s">
        <v>231</v>
      </c>
      <c r="Z5" s="39" t="s">
        <v>108</v>
      </c>
      <c r="AA5" s="39" t="s">
        <v>122</v>
      </c>
    </row>
    <row r="6" spans="2:27" ht="12.75">
      <c r="B6" s="39" t="s">
        <v>52</v>
      </c>
      <c r="D6" s="39" t="s">
        <v>586</v>
      </c>
      <c r="F6" s="39" t="s">
        <v>6</v>
      </c>
      <c r="H6" s="39" t="s">
        <v>111</v>
      </c>
      <c r="J6" s="39" t="s">
        <v>130</v>
      </c>
      <c r="K6" s="39" t="s">
        <v>477</v>
      </c>
      <c r="O6" s="39" t="s">
        <v>514</v>
      </c>
      <c r="Q6" s="39" t="s">
        <v>117</v>
      </c>
      <c r="T6" s="39" t="s">
        <v>114</v>
      </c>
      <c r="V6" s="39" t="s">
        <v>63</v>
      </c>
      <c r="X6" s="39" t="s">
        <v>67</v>
      </c>
      <c r="Y6" s="39" t="s">
        <v>67</v>
      </c>
      <c r="Z6" s="39" t="s">
        <v>84</v>
      </c>
      <c r="AA6" s="39" t="s">
        <v>123</v>
      </c>
    </row>
    <row r="7" spans="2:27" ht="12.75">
      <c r="B7" s="39" t="s">
        <v>53</v>
      </c>
      <c r="D7" s="39" t="s">
        <v>587</v>
      </c>
      <c r="F7" s="39" t="s">
        <v>7</v>
      </c>
      <c r="H7" s="39" t="s">
        <v>112</v>
      </c>
      <c r="K7" s="39" t="s">
        <v>435</v>
      </c>
      <c r="O7" s="39" t="s">
        <v>515</v>
      </c>
      <c r="Q7" s="39" t="s">
        <v>531</v>
      </c>
      <c r="T7" s="39" t="s">
        <v>115</v>
      </c>
      <c r="V7" s="39" t="s">
        <v>64</v>
      </c>
      <c r="X7" s="39" t="s">
        <v>68</v>
      </c>
      <c r="Y7" s="39" t="s">
        <v>68</v>
      </c>
      <c r="Z7" s="39" t="s">
        <v>85</v>
      </c>
      <c r="AA7" s="39" t="s">
        <v>124</v>
      </c>
    </row>
    <row r="8" spans="2:27" ht="12.75">
      <c r="B8" s="39" t="s">
        <v>54</v>
      </c>
      <c r="D8" s="39" t="s">
        <v>588</v>
      </c>
      <c r="F8" s="39" t="s">
        <v>8</v>
      </c>
      <c r="O8" s="39" t="s">
        <v>516</v>
      </c>
      <c r="Q8" s="39" t="s">
        <v>532</v>
      </c>
      <c r="T8" s="39" t="s">
        <v>199</v>
      </c>
      <c r="V8" s="39" t="s">
        <v>65</v>
      </c>
      <c r="Y8" s="39" t="s">
        <v>182</v>
      </c>
      <c r="Z8" s="39" t="s">
        <v>86</v>
      </c>
      <c r="AA8" s="39" t="s">
        <v>145</v>
      </c>
    </row>
    <row r="9" spans="4:20" ht="12.75">
      <c r="D9" s="39" t="s">
        <v>589</v>
      </c>
      <c r="F9" s="39" t="s">
        <v>9</v>
      </c>
      <c r="O9" s="39" t="s">
        <v>517</v>
      </c>
      <c r="Q9" s="39" t="s">
        <v>522</v>
      </c>
      <c r="T9" s="39" t="s">
        <v>116</v>
      </c>
    </row>
    <row r="10" spans="4:27" ht="12.75">
      <c r="D10" s="39" t="s">
        <v>590</v>
      </c>
      <c r="F10" s="39" t="s">
        <v>10</v>
      </c>
      <c r="K10" s="39" t="s">
        <v>157</v>
      </c>
      <c r="O10" s="39" t="s">
        <v>518</v>
      </c>
      <c r="S10" s="39" t="s">
        <v>185</v>
      </c>
      <c r="T10" s="101" t="s">
        <v>187</v>
      </c>
      <c r="AA10" s="39" t="s">
        <v>161</v>
      </c>
    </row>
    <row r="11" spans="4:27" ht="12.75">
      <c r="D11" s="39" t="s">
        <v>591</v>
      </c>
      <c r="F11" s="39" t="s">
        <v>11</v>
      </c>
      <c r="K11" s="39" t="s">
        <v>155</v>
      </c>
      <c r="O11" s="39" t="s">
        <v>519</v>
      </c>
      <c r="S11" s="39" t="s">
        <v>188</v>
      </c>
      <c r="T11" s="101" t="s">
        <v>186</v>
      </c>
      <c r="AA11" s="39" t="s">
        <v>158</v>
      </c>
    </row>
    <row r="12" spans="4:27" ht="12.75">
      <c r="D12" s="39" t="s">
        <v>37</v>
      </c>
      <c r="F12" s="39" t="s">
        <v>12</v>
      </c>
      <c r="K12" s="39" t="s">
        <v>477</v>
      </c>
      <c r="O12" s="39" t="s">
        <v>520</v>
      </c>
      <c r="S12" s="39" t="s">
        <v>384</v>
      </c>
      <c r="AA12" s="39" t="s">
        <v>123</v>
      </c>
    </row>
    <row r="13" spans="4:27" ht="12.75">
      <c r="D13" s="39" t="s">
        <v>592</v>
      </c>
      <c r="F13" s="39" t="s">
        <v>13</v>
      </c>
      <c r="K13" s="39" t="s">
        <v>435</v>
      </c>
      <c r="O13" s="39" t="s">
        <v>521</v>
      </c>
      <c r="AA13" s="39" t="s">
        <v>124</v>
      </c>
    </row>
    <row r="14" spans="4:27" ht="12.75">
      <c r="D14" s="39" t="s">
        <v>38</v>
      </c>
      <c r="F14" s="39" t="s">
        <v>14</v>
      </c>
      <c r="AA14" s="39" t="s">
        <v>160</v>
      </c>
    </row>
    <row r="15" spans="4:27" ht="12.75">
      <c r="D15" s="39" t="s">
        <v>593</v>
      </c>
      <c r="F15" s="39" t="s">
        <v>200</v>
      </c>
      <c r="AA15" s="39" t="s">
        <v>159</v>
      </c>
    </row>
    <row r="16" spans="4:27" ht="12.75">
      <c r="D16" s="39" t="s">
        <v>39</v>
      </c>
      <c r="F16" s="39" t="s">
        <v>15</v>
      </c>
      <c r="AA16" s="39" t="s">
        <v>165</v>
      </c>
    </row>
    <row r="17" spans="4:11" ht="12.75">
      <c r="D17" s="39" t="s">
        <v>40</v>
      </c>
      <c r="F17" s="39" t="s">
        <v>16</v>
      </c>
      <c r="K17" s="39" t="s">
        <v>194</v>
      </c>
    </row>
    <row r="18" spans="4:27" ht="12.75">
      <c r="D18" s="39" t="s">
        <v>594</v>
      </c>
      <c r="F18" s="39" t="s">
        <v>17</v>
      </c>
      <c r="K18" s="39" t="s">
        <v>195</v>
      </c>
      <c r="AA18" s="39" t="s">
        <v>162</v>
      </c>
    </row>
    <row r="19" spans="4:27" ht="12.75">
      <c r="D19" s="39" t="s">
        <v>595</v>
      </c>
      <c r="F19" s="39" t="s">
        <v>18</v>
      </c>
      <c r="J19" s="39" t="s">
        <v>299</v>
      </c>
      <c r="K19" s="39" t="s">
        <v>473</v>
      </c>
      <c r="AA19" s="39" t="s">
        <v>163</v>
      </c>
    </row>
    <row r="20" spans="4:27" ht="12.75">
      <c r="D20" s="39" t="s">
        <v>596</v>
      </c>
      <c r="F20" s="39" t="s">
        <v>19</v>
      </c>
      <c r="J20" s="39" t="s">
        <v>196</v>
      </c>
      <c r="K20" s="39" t="s">
        <v>435</v>
      </c>
      <c r="Z20" s="39" t="s">
        <v>304</v>
      </c>
      <c r="AA20" s="39" t="s">
        <v>164</v>
      </c>
    </row>
    <row r="21" spans="4:27" ht="12.75">
      <c r="D21" s="39" t="s">
        <v>41</v>
      </c>
      <c r="F21" s="39" t="s">
        <v>20</v>
      </c>
      <c r="AA21" s="39" t="s">
        <v>159</v>
      </c>
    </row>
    <row r="22" spans="4:27" ht="12.75">
      <c r="D22" s="39" t="s">
        <v>597</v>
      </c>
      <c r="F22" s="39" t="s">
        <v>21</v>
      </c>
      <c r="J22" s="39" t="s">
        <v>404</v>
      </c>
      <c r="K22" s="39" t="s">
        <v>406</v>
      </c>
      <c r="Z22" s="39" t="s">
        <v>305</v>
      </c>
      <c r="AA22" s="39" t="s">
        <v>165</v>
      </c>
    </row>
    <row r="23" spans="4:27" ht="12.75">
      <c r="D23" s="39" t="s">
        <v>598</v>
      </c>
      <c r="F23" s="39" t="s">
        <v>22</v>
      </c>
      <c r="K23" s="39" t="s">
        <v>405</v>
      </c>
      <c r="AA23" s="39" t="s">
        <v>302</v>
      </c>
    </row>
    <row r="24" spans="6:27" ht="12.75">
      <c r="F24" s="39" t="s">
        <v>23</v>
      </c>
      <c r="AA24" s="39" t="s">
        <v>303</v>
      </c>
    </row>
    <row r="25" ht="12.75">
      <c r="F25" s="39" t="s">
        <v>24</v>
      </c>
    </row>
    <row r="26" ht="12.75">
      <c r="F26" s="39" t="s">
        <v>25</v>
      </c>
    </row>
    <row r="27" spans="6:27" ht="12.75">
      <c r="F27" s="39" t="s">
        <v>26</v>
      </c>
      <c r="AA27" s="39" t="s">
        <v>180</v>
      </c>
    </row>
    <row r="28" spans="6:27" ht="12.75">
      <c r="F28" s="39" t="s">
        <v>27</v>
      </c>
      <c r="AA28" s="39" t="s">
        <v>181</v>
      </c>
    </row>
    <row r="29" spans="6:27" ht="12.75">
      <c r="F29" s="39" t="s">
        <v>28</v>
      </c>
      <c r="AA29" s="39" t="s">
        <v>456</v>
      </c>
    </row>
    <row r="30" spans="6:27" ht="12.75">
      <c r="F30" s="39" t="s">
        <v>29</v>
      </c>
      <c r="AA30" s="39" t="s">
        <v>457</v>
      </c>
    </row>
    <row r="31" spans="6:27" ht="12.75">
      <c r="F31" s="39" t="s">
        <v>30</v>
      </c>
      <c r="AA31" s="39" t="s">
        <v>478</v>
      </c>
    </row>
    <row r="32" ht="12.75">
      <c r="F32" s="39" t="s">
        <v>31</v>
      </c>
    </row>
    <row r="33" spans="6:27" ht="12.75">
      <c r="F33" s="39" t="s">
        <v>32</v>
      </c>
      <c r="AA33" s="39" t="s">
        <v>72</v>
      </c>
    </row>
    <row r="34" spans="6:27" ht="12.75">
      <c r="F34" s="39" t="s">
        <v>33</v>
      </c>
      <c r="AA34" s="39" t="s">
        <v>232</v>
      </c>
    </row>
    <row r="35" ht="12.75">
      <c r="AA35" s="39" t="s">
        <v>491</v>
      </c>
    </row>
    <row r="36" ht="12.75">
      <c r="AA36" s="39" t="s">
        <v>490</v>
      </c>
    </row>
    <row r="37" ht="12.75">
      <c r="AA37" s="39" t="s">
        <v>233</v>
      </c>
    </row>
    <row r="38" spans="2:27" ht="12.75">
      <c r="B38" s="39" t="s">
        <v>125</v>
      </c>
      <c r="K38" s="39" t="s">
        <v>202</v>
      </c>
      <c r="Q38" s="39" t="s">
        <v>246</v>
      </c>
      <c r="U38" s="39" t="s">
        <v>148</v>
      </c>
      <c r="Y38" s="39" t="s">
        <v>227</v>
      </c>
      <c r="AA38" s="39" t="s">
        <v>292</v>
      </c>
    </row>
    <row r="39" spans="17:25" ht="12.75">
      <c r="Q39" s="39" t="s">
        <v>247</v>
      </c>
      <c r="V39" s="39" t="s">
        <v>149</v>
      </c>
      <c r="Y39" s="39" t="s">
        <v>228</v>
      </c>
    </row>
    <row r="40" spans="2:25" ht="12.75">
      <c r="B40" s="39" t="s">
        <v>128</v>
      </c>
      <c r="C40" s="39" t="s">
        <v>488</v>
      </c>
      <c r="K40" s="39" t="s">
        <v>135</v>
      </c>
      <c r="L40" s="39" t="s">
        <v>134</v>
      </c>
      <c r="Q40" s="39" t="s">
        <v>61</v>
      </c>
      <c r="U40" s="39" t="s">
        <v>152</v>
      </c>
      <c r="V40" s="40" t="s">
        <v>150</v>
      </c>
      <c r="Y40" s="39" t="s">
        <v>84</v>
      </c>
    </row>
    <row r="41" spans="2:25" ht="12.75">
      <c r="B41" s="39" t="s">
        <v>139</v>
      </c>
      <c r="C41" s="39" t="s">
        <v>214</v>
      </c>
      <c r="K41" s="39" t="s">
        <v>137</v>
      </c>
      <c r="L41" s="39" t="s">
        <v>136</v>
      </c>
      <c r="Q41" s="39" t="s">
        <v>248</v>
      </c>
      <c r="U41" s="39" t="s">
        <v>153</v>
      </c>
      <c r="V41" s="40" t="s">
        <v>151</v>
      </c>
      <c r="Y41" s="39" t="s">
        <v>229</v>
      </c>
    </row>
    <row r="42" spans="3:25" ht="12.75">
      <c r="C42" s="39" t="s">
        <v>212</v>
      </c>
      <c r="K42" s="39" t="s">
        <v>141</v>
      </c>
      <c r="L42" s="39" t="s">
        <v>197</v>
      </c>
      <c r="Q42" s="39" t="s">
        <v>249</v>
      </c>
      <c r="V42" s="40" t="s">
        <v>182</v>
      </c>
      <c r="Y42" s="39" t="s">
        <v>86</v>
      </c>
    </row>
    <row r="43" spans="3:12" ht="12.75">
      <c r="C43" s="39" t="s">
        <v>213</v>
      </c>
      <c r="K43" s="39" t="s">
        <v>168</v>
      </c>
      <c r="L43" s="39" t="s">
        <v>198</v>
      </c>
    </row>
    <row r="44" spans="2:3" ht="12.75">
      <c r="B44" s="39" t="s">
        <v>132</v>
      </c>
      <c r="C44" s="39" t="s">
        <v>191</v>
      </c>
    </row>
    <row r="45" spans="2:12" ht="12.75">
      <c r="B45" s="39" t="s">
        <v>543</v>
      </c>
      <c r="C45" s="39" t="s">
        <v>544</v>
      </c>
      <c r="K45" s="39" t="s">
        <v>170</v>
      </c>
      <c r="L45" s="39" t="s">
        <v>171</v>
      </c>
    </row>
    <row r="46" spans="3:12" ht="12.75">
      <c r="C46" s="39" t="s">
        <v>215</v>
      </c>
      <c r="K46" s="39" t="s">
        <v>209</v>
      </c>
      <c r="L46" s="39" t="s">
        <v>208</v>
      </c>
    </row>
    <row r="47" spans="2:3" ht="12.75">
      <c r="B47" s="39" t="s">
        <v>416</v>
      </c>
      <c r="C47" s="39" t="s">
        <v>542</v>
      </c>
    </row>
    <row r="48" spans="2:3" ht="12.75">
      <c r="B48" s="39" t="s">
        <v>127</v>
      </c>
      <c r="C48" s="39" t="s">
        <v>436</v>
      </c>
    </row>
    <row r="49" spans="2:11" ht="12.75">
      <c r="B49" s="39" t="s">
        <v>129</v>
      </c>
      <c r="C49" s="39" t="s">
        <v>126</v>
      </c>
      <c r="K49" s="39" t="s">
        <v>263</v>
      </c>
    </row>
    <row r="50" spans="2:12" ht="12.75">
      <c r="B50" s="39" t="s">
        <v>131</v>
      </c>
      <c r="C50" s="39" t="s">
        <v>380</v>
      </c>
      <c r="K50" s="39" t="s">
        <v>264</v>
      </c>
      <c r="L50" s="39" t="s">
        <v>381</v>
      </c>
    </row>
    <row r="51" spans="2:12" ht="12.75">
      <c r="B51" s="39" t="s">
        <v>143</v>
      </c>
      <c r="C51" s="39" t="s">
        <v>142</v>
      </c>
      <c r="K51" s="39" t="s">
        <v>265</v>
      </c>
      <c r="L51" s="39" t="s">
        <v>267</v>
      </c>
    </row>
    <row r="52" spans="11:12" ht="12.75">
      <c r="K52" s="39" t="s">
        <v>266</v>
      </c>
      <c r="L52" s="39" t="s">
        <v>268</v>
      </c>
    </row>
    <row r="53" spans="2:3" ht="12.75">
      <c r="B53" s="39" t="s">
        <v>300</v>
      </c>
      <c r="C53" s="39" t="s">
        <v>475</v>
      </c>
    </row>
    <row r="54" spans="2:11" ht="12.75">
      <c r="B54" s="39" t="s">
        <v>301</v>
      </c>
      <c r="C54" s="39" t="s">
        <v>476</v>
      </c>
      <c r="K54" s="39" t="s">
        <v>276</v>
      </c>
    </row>
    <row r="55" spans="11:12" ht="12.75">
      <c r="K55" s="39" t="s">
        <v>277</v>
      </c>
      <c r="L55" s="39" t="s">
        <v>367</v>
      </c>
    </row>
    <row r="56" spans="2:3" ht="12.75">
      <c r="B56" s="39" t="s">
        <v>392</v>
      </c>
      <c r="C56" s="39" t="s">
        <v>393</v>
      </c>
    </row>
    <row r="58" spans="2:4" ht="12.75">
      <c r="B58" s="107" t="s">
        <v>396</v>
      </c>
      <c r="C58" s="107" t="s">
        <v>397</v>
      </c>
      <c r="D58" s="107"/>
    </row>
    <row r="59" spans="2:4" ht="12.75">
      <c r="B59" s="108"/>
      <c r="C59" s="107"/>
      <c r="D59" s="107"/>
    </row>
    <row r="60" spans="2:4" ht="12.75">
      <c r="B60" s="108" t="s">
        <v>399</v>
      </c>
      <c r="C60" s="107" t="s">
        <v>400</v>
      </c>
      <c r="D60" s="107"/>
    </row>
    <row r="61" spans="2:4" ht="12.75">
      <c r="B61" s="108" t="s">
        <v>487</v>
      </c>
      <c r="C61" s="107" t="s">
        <v>401</v>
      </c>
      <c r="D61" s="107"/>
    </row>
    <row r="62" spans="2:4" ht="12.75">
      <c r="B62" s="107"/>
      <c r="C62" s="107"/>
      <c r="D62" s="107"/>
    </row>
    <row r="63" spans="2:4" ht="12.75">
      <c r="B63" s="108" t="s">
        <v>403</v>
      </c>
      <c r="C63" s="108" t="s">
        <v>545</v>
      </c>
      <c r="D63" s="107"/>
    </row>
    <row r="64" spans="2:4" ht="12.75">
      <c r="B64" s="108" t="s">
        <v>412</v>
      </c>
      <c r="C64" s="108" t="s">
        <v>600</v>
      </c>
      <c r="D64" s="107"/>
    </row>
    <row r="65" spans="2:4" ht="12.75">
      <c r="B65" s="108" t="s">
        <v>417</v>
      </c>
      <c r="C65" s="108" t="s">
        <v>606</v>
      </c>
      <c r="D65" s="107"/>
    </row>
    <row r="66" spans="2:4" ht="12.75">
      <c r="B66" s="108" t="s">
        <v>414</v>
      </c>
      <c r="C66" s="107" t="s">
        <v>415</v>
      </c>
      <c r="D66" s="107"/>
    </row>
    <row r="67" spans="2:4" ht="12.75">
      <c r="B67" s="107"/>
      <c r="C67" s="107"/>
      <c r="D67" s="107"/>
    </row>
    <row r="68" spans="2:4" ht="12.75">
      <c r="B68" s="107"/>
      <c r="C68" s="107"/>
      <c r="D68" s="107"/>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theme="7" tint="0.39998000860214233"/>
  </sheetPr>
  <dimension ref="A7:AG199"/>
  <sheetViews>
    <sheetView zoomScalePageLayoutView="0" workbookViewId="0" topLeftCell="A1">
      <pane ySplit="11" topLeftCell="A12" activePane="bottomLeft" state="frozen"/>
      <selection pane="topLeft" activeCell="F144" sqref="F144"/>
      <selection pane="bottomLeft" activeCell="C118" sqref="C118"/>
    </sheetView>
  </sheetViews>
  <sheetFormatPr defaultColWidth="9.140625" defaultRowHeight="12.75"/>
  <cols>
    <col min="1" max="1" width="1.7109375" style="39" customWidth="1"/>
    <col min="2" max="2" width="27.57421875" style="39" customWidth="1"/>
    <col min="3" max="3" width="14.140625" style="39" customWidth="1"/>
    <col min="4" max="4" width="13.7109375" style="39" bestFit="1" customWidth="1"/>
    <col min="5" max="5" width="14.7109375" style="39" customWidth="1"/>
    <col min="6" max="6" width="11.8515625" style="39" customWidth="1"/>
    <col min="7" max="7" width="13.421875" style="39" bestFit="1" customWidth="1"/>
    <col min="8" max="8" width="12.421875" style="39" bestFit="1" customWidth="1"/>
    <col min="9" max="9" width="12.140625" style="39" bestFit="1" customWidth="1"/>
    <col min="10" max="32" width="11.00390625" style="39" bestFit="1" customWidth="1"/>
    <col min="33" max="16384" width="9.140625" style="39" customWidth="1"/>
  </cols>
  <sheetData>
    <row r="1" ht="12.75"/>
    <row r="2" ht="12.75"/>
    <row r="3" ht="12.75"/>
    <row r="4" ht="12.75"/>
    <row r="5" ht="12.75"/>
    <row r="6" ht="12.75"/>
    <row r="7" s="273" customFormat="1" ht="18">
      <c r="B7" s="56" t="s">
        <v>382</v>
      </c>
    </row>
    <row r="8" ht="12.75"/>
    <row r="9" spans="1:32" ht="12.75">
      <c r="A9" s="274"/>
      <c r="B9" s="68" t="s">
        <v>44</v>
      </c>
      <c r="C9" s="274">
        <v>0</v>
      </c>
      <c r="D9" s="274">
        <f>C9+1</f>
        <v>1</v>
      </c>
      <c r="E9" s="274">
        <f aca="true" t="shared" si="0" ref="E9:AF9">D9+1</f>
        <v>2</v>
      </c>
      <c r="F9" s="274">
        <f t="shared" si="0"/>
        <v>3</v>
      </c>
      <c r="G9" s="274">
        <f t="shared" si="0"/>
        <v>4</v>
      </c>
      <c r="H9" s="274">
        <f t="shared" si="0"/>
        <v>5</v>
      </c>
      <c r="I9" s="274">
        <f t="shared" si="0"/>
        <v>6</v>
      </c>
      <c r="J9" s="274">
        <f t="shared" si="0"/>
        <v>7</v>
      </c>
      <c r="K9" s="274">
        <f t="shared" si="0"/>
        <v>8</v>
      </c>
      <c r="L9" s="274">
        <f t="shared" si="0"/>
        <v>9</v>
      </c>
      <c r="M9" s="274">
        <f t="shared" si="0"/>
        <v>10</v>
      </c>
      <c r="N9" s="274">
        <f t="shared" si="0"/>
        <v>11</v>
      </c>
      <c r="O9" s="274">
        <f t="shared" si="0"/>
        <v>12</v>
      </c>
      <c r="P9" s="274">
        <f t="shared" si="0"/>
        <v>13</v>
      </c>
      <c r="Q9" s="274">
        <f t="shared" si="0"/>
        <v>14</v>
      </c>
      <c r="R9" s="274">
        <f t="shared" si="0"/>
        <v>15</v>
      </c>
      <c r="S9" s="274">
        <f t="shared" si="0"/>
        <v>16</v>
      </c>
      <c r="T9" s="274">
        <f t="shared" si="0"/>
        <v>17</v>
      </c>
      <c r="U9" s="274">
        <f t="shared" si="0"/>
        <v>18</v>
      </c>
      <c r="V9" s="274">
        <f t="shared" si="0"/>
        <v>19</v>
      </c>
      <c r="W9" s="274">
        <f t="shared" si="0"/>
        <v>20</v>
      </c>
      <c r="X9" s="274">
        <f t="shared" si="0"/>
        <v>21</v>
      </c>
      <c r="Y9" s="274">
        <f t="shared" si="0"/>
        <v>22</v>
      </c>
      <c r="Z9" s="274">
        <f t="shared" si="0"/>
        <v>23</v>
      </c>
      <c r="AA9" s="274">
        <f t="shared" si="0"/>
        <v>24</v>
      </c>
      <c r="AB9" s="274">
        <f t="shared" si="0"/>
        <v>25</v>
      </c>
      <c r="AC9" s="274">
        <f t="shared" si="0"/>
        <v>26</v>
      </c>
      <c r="AD9" s="274">
        <f t="shared" si="0"/>
        <v>27</v>
      </c>
      <c r="AE9" s="274">
        <f t="shared" si="0"/>
        <v>28</v>
      </c>
      <c r="AF9" s="274">
        <f t="shared" si="0"/>
        <v>29</v>
      </c>
    </row>
    <row r="10" spans="1:32" ht="12.75">
      <c r="A10" s="274"/>
      <c r="B10" s="68" t="s">
        <v>350</v>
      </c>
      <c r="C10" s="274">
        <v>1</v>
      </c>
      <c r="D10" s="274">
        <v>2</v>
      </c>
      <c r="E10" s="274">
        <v>3</v>
      </c>
      <c r="F10" s="274">
        <v>4</v>
      </c>
      <c r="G10" s="274">
        <v>5</v>
      </c>
      <c r="H10" s="274">
        <v>6</v>
      </c>
      <c r="I10" s="274">
        <v>7</v>
      </c>
      <c r="J10" s="274">
        <v>8</v>
      </c>
      <c r="K10" s="274">
        <v>9</v>
      </c>
      <c r="L10" s="274">
        <v>10</v>
      </c>
      <c r="M10" s="274">
        <v>11</v>
      </c>
      <c r="N10" s="274">
        <v>12</v>
      </c>
      <c r="O10" s="274">
        <v>13</v>
      </c>
      <c r="P10" s="274">
        <v>14</v>
      </c>
      <c r="Q10" s="274">
        <v>15</v>
      </c>
      <c r="R10" s="274">
        <v>16</v>
      </c>
      <c r="S10" s="274">
        <v>17</v>
      </c>
      <c r="T10" s="274">
        <v>18</v>
      </c>
      <c r="U10" s="274">
        <v>19</v>
      </c>
      <c r="V10" s="274">
        <v>20</v>
      </c>
      <c r="W10" s="274">
        <v>21</v>
      </c>
      <c r="X10" s="274">
        <v>22</v>
      </c>
      <c r="Y10" s="274">
        <v>23</v>
      </c>
      <c r="Z10" s="274">
        <v>24</v>
      </c>
      <c r="AA10" s="274">
        <v>25</v>
      </c>
      <c r="AB10" s="274">
        <v>26</v>
      </c>
      <c r="AC10" s="274">
        <v>27</v>
      </c>
      <c r="AD10" s="274">
        <v>28</v>
      </c>
      <c r="AE10" s="274">
        <v>29</v>
      </c>
      <c r="AF10" s="274">
        <v>30</v>
      </c>
    </row>
    <row r="11" spans="1:32" ht="12.75">
      <c r="A11" s="275"/>
      <c r="B11" s="69" t="s">
        <v>45</v>
      </c>
      <c r="C11" s="275">
        <f>Assumptions!D15</f>
        <v>2014</v>
      </c>
      <c r="D11" s="275">
        <f aca="true" t="shared" si="1" ref="D11:AF11">C11+1</f>
        <v>2015</v>
      </c>
      <c r="E11" s="275">
        <f t="shared" si="1"/>
        <v>2016</v>
      </c>
      <c r="F11" s="275">
        <f t="shared" si="1"/>
        <v>2017</v>
      </c>
      <c r="G11" s="275">
        <f t="shared" si="1"/>
        <v>2018</v>
      </c>
      <c r="H11" s="275">
        <f t="shared" si="1"/>
        <v>2019</v>
      </c>
      <c r="I11" s="275">
        <f t="shared" si="1"/>
        <v>2020</v>
      </c>
      <c r="J11" s="275">
        <f t="shared" si="1"/>
        <v>2021</v>
      </c>
      <c r="K11" s="275">
        <f t="shared" si="1"/>
        <v>2022</v>
      </c>
      <c r="L11" s="275">
        <f t="shared" si="1"/>
        <v>2023</v>
      </c>
      <c r="M11" s="275">
        <f t="shared" si="1"/>
        <v>2024</v>
      </c>
      <c r="N11" s="275">
        <f t="shared" si="1"/>
        <v>2025</v>
      </c>
      <c r="O11" s="275">
        <f t="shared" si="1"/>
        <v>2026</v>
      </c>
      <c r="P11" s="275">
        <f t="shared" si="1"/>
        <v>2027</v>
      </c>
      <c r="Q11" s="275">
        <f t="shared" si="1"/>
        <v>2028</v>
      </c>
      <c r="R11" s="275">
        <f t="shared" si="1"/>
        <v>2029</v>
      </c>
      <c r="S11" s="275">
        <f t="shared" si="1"/>
        <v>2030</v>
      </c>
      <c r="T11" s="275">
        <f t="shared" si="1"/>
        <v>2031</v>
      </c>
      <c r="U11" s="275">
        <f t="shared" si="1"/>
        <v>2032</v>
      </c>
      <c r="V11" s="275">
        <f t="shared" si="1"/>
        <v>2033</v>
      </c>
      <c r="W11" s="275">
        <f t="shared" si="1"/>
        <v>2034</v>
      </c>
      <c r="X11" s="275">
        <f t="shared" si="1"/>
        <v>2035</v>
      </c>
      <c r="Y11" s="275">
        <f t="shared" si="1"/>
        <v>2036</v>
      </c>
      <c r="Z11" s="275">
        <f t="shared" si="1"/>
        <v>2037</v>
      </c>
      <c r="AA11" s="275">
        <f t="shared" si="1"/>
        <v>2038</v>
      </c>
      <c r="AB11" s="275">
        <f t="shared" si="1"/>
        <v>2039</v>
      </c>
      <c r="AC11" s="275">
        <f t="shared" si="1"/>
        <v>2040</v>
      </c>
      <c r="AD11" s="275">
        <f t="shared" si="1"/>
        <v>2041</v>
      </c>
      <c r="AE11" s="275">
        <f t="shared" si="1"/>
        <v>2042</v>
      </c>
      <c r="AF11" s="275">
        <f t="shared" si="1"/>
        <v>2043</v>
      </c>
    </row>
    <row r="12" ht="12.75">
      <c r="C12" s="42"/>
    </row>
    <row r="13" spans="1:32" ht="18">
      <c r="A13" s="276"/>
      <c r="B13" s="100" t="s">
        <v>324</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row>
    <row r="14" spans="1:32" ht="12.75">
      <c r="A14" s="277"/>
      <c r="B14" s="67" t="s">
        <v>69</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2:9" ht="36">
      <c r="B15" s="278" t="s">
        <v>50</v>
      </c>
      <c r="C15" s="60" t="str">
        <f>Lists!Q6</f>
        <v>Detached house</v>
      </c>
      <c r="D15" s="60" t="str">
        <f>Lists!Q7</f>
        <v>Semi detached house (end terrace)</v>
      </c>
      <c r="E15" s="60" t="str">
        <f>Lists!Q8</f>
        <v>Terraced house</v>
      </c>
      <c r="F15" s="60" t="str">
        <f>Lists!Q9</f>
        <v>Flat</v>
      </c>
      <c r="G15" s="123"/>
      <c r="H15" s="123"/>
      <c r="I15" s="123"/>
    </row>
    <row r="16" spans="2:9" ht="12.75">
      <c r="B16" s="59" t="s">
        <v>76</v>
      </c>
      <c r="C16" s="58">
        <f>Controller!D9</f>
        <v>0</v>
      </c>
      <c r="D16" s="58">
        <f>C16</f>
        <v>0</v>
      </c>
      <c r="E16" s="58">
        <f>D16</f>
        <v>0</v>
      </c>
      <c r="F16" s="58">
        <f>E16</f>
        <v>0</v>
      </c>
      <c r="G16" s="124"/>
      <c r="H16" s="124"/>
      <c r="I16" s="124"/>
    </row>
    <row r="17" spans="2:9" ht="12.75">
      <c r="B17" s="59" t="s">
        <v>533</v>
      </c>
      <c r="C17" s="279">
        <f>Controller!D17</f>
        <v>0</v>
      </c>
      <c r="D17" s="279">
        <f>Controller!D18</f>
        <v>0</v>
      </c>
      <c r="E17" s="279">
        <f>Controller!D19</f>
        <v>0</v>
      </c>
      <c r="F17" s="279">
        <f>Controller!D20</f>
        <v>0</v>
      </c>
      <c r="G17" s="280"/>
      <c r="H17" s="280"/>
      <c r="I17" s="280"/>
    </row>
    <row r="18" spans="2:9" ht="12.75">
      <c r="B18" s="61" t="s">
        <v>325</v>
      </c>
      <c r="C18" s="279" t="e">
        <f>C17*VLOOKUP(C15,'Domestic Benchmarks'!$D$37:$L$41,1+MATCH(CBA!C16,'Domestic Benchmarks'!$E$37:$L$37,0),0)</f>
        <v>#N/A</v>
      </c>
      <c r="D18" s="279" t="e">
        <f>D17*VLOOKUP(D15,'Domestic Benchmarks'!$D$37:$L$41,1+MATCH(CBA!D16,'Domestic Benchmarks'!$E$37:$L$37,0),0)</f>
        <v>#N/A</v>
      </c>
      <c r="E18" s="279" t="e">
        <f>E17*VLOOKUP(E15,'Domestic Benchmarks'!$D$37:$L$41,1+MATCH(CBA!E16,'Domestic Benchmarks'!$E$37:$L$37,0),0)</f>
        <v>#N/A</v>
      </c>
      <c r="F18" s="279" t="e">
        <f>F17*VLOOKUP(F15,'Domestic Benchmarks'!$D$37:$L$41,1+MATCH(CBA!F16,'Domestic Benchmarks'!$E$37:$L$37,0),0)</f>
        <v>#N/A</v>
      </c>
      <c r="G18" s="280"/>
      <c r="H18" s="280"/>
      <c r="I18" s="280"/>
    </row>
    <row r="19" ht="12.75">
      <c r="C19" s="42"/>
    </row>
    <row r="20" spans="1:32" s="107" customFormat="1" ht="24">
      <c r="A20" s="62"/>
      <c r="B20" s="63" t="s">
        <v>326</v>
      </c>
      <c r="C20" s="65" t="e">
        <f>C22*(1-C21)</f>
        <v>#N/A</v>
      </c>
      <c r="D20" s="65" t="e">
        <f>D22*(1-D21)</f>
        <v>#N/A</v>
      </c>
      <c r="E20" s="65" t="e">
        <f>SUM(C18:F18)</f>
        <v>#N/A</v>
      </c>
      <c r="F20" s="65" t="e">
        <f aca="true" t="shared" si="2" ref="F20:AF20">E20</f>
        <v>#N/A</v>
      </c>
      <c r="G20" s="65" t="e">
        <f t="shared" si="2"/>
        <v>#N/A</v>
      </c>
      <c r="H20" s="65" t="e">
        <f t="shared" si="2"/>
        <v>#N/A</v>
      </c>
      <c r="I20" s="65" t="e">
        <f t="shared" si="2"/>
        <v>#N/A</v>
      </c>
      <c r="J20" s="65" t="e">
        <f t="shared" si="2"/>
        <v>#N/A</v>
      </c>
      <c r="K20" s="65" t="e">
        <f t="shared" si="2"/>
        <v>#N/A</v>
      </c>
      <c r="L20" s="65" t="e">
        <f t="shared" si="2"/>
        <v>#N/A</v>
      </c>
      <c r="M20" s="65" t="e">
        <f t="shared" si="2"/>
        <v>#N/A</v>
      </c>
      <c r="N20" s="65" t="e">
        <f t="shared" si="2"/>
        <v>#N/A</v>
      </c>
      <c r="O20" s="65" t="e">
        <f t="shared" si="2"/>
        <v>#N/A</v>
      </c>
      <c r="P20" s="65" t="e">
        <f t="shared" si="2"/>
        <v>#N/A</v>
      </c>
      <c r="Q20" s="65" t="e">
        <f t="shared" si="2"/>
        <v>#N/A</v>
      </c>
      <c r="R20" s="65" t="e">
        <f t="shared" si="2"/>
        <v>#N/A</v>
      </c>
      <c r="S20" s="65" t="e">
        <f t="shared" si="2"/>
        <v>#N/A</v>
      </c>
      <c r="T20" s="65" t="e">
        <f t="shared" si="2"/>
        <v>#N/A</v>
      </c>
      <c r="U20" s="65" t="e">
        <f t="shared" si="2"/>
        <v>#N/A</v>
      </c>
      <c r="V20" s="65" t="e">
        <f t="shared" si="2"/>
        <v>#N/A</v>
      </c>
      <c r="W20" s="65" t="e">
        <f t="shared" si="2"/>
        <v>#N/A</v>
      </c>
      <c r="X20" s="65" t="e">
        <f t="shared" si="2"/>
        <v>#N/A</v>
      </c>
      <c r="Y20" s="65" t="e">
        <f t="shared" si="2"/>
        <v>#N/A</v>
      </c>
      <c r="Z20" s="65" t="e">
        <f t="shared" si="2"/>
        <v>#N/A</v>
      </c>
      <c r="AA20" s="65" t="e">
        <f t="shared" si="2"/>
        <v>#N/A</v>
      </c>
      <c r="AB20" s="65" t="e">
        <f t="shared" si="2"/>
        <v>#N/A</v>
      </c>
      <c r="AC20" s="65" t="e">
        <f t="shared" si="2"/>
        <v>#N/A</v>
      </c>
      <c r="AD20" s="65" t="e">
        <f t="shared" si="2"/>
        <v>#N/A</v>
      </c>
      <c r="AE20" s="65" t="e">
        <f t="shared" si="2"/>
        <v>#N/A</v>
      </c>
      <c r="AF20" s="65" t="e">
        <f t="shared" si="2"/>
        <v>#N/A</v>
      </c>
    </row>
    <row r="21" spans="1:32" s="107" customFormat="1" ht="12.75">
      <c r="A21" s="62"/>
      <c r="B21" s="63" t="s">
        <v>327</v>
      </c>
      <c r="C21" s="64">
        <f>D21/2</f>
        <v>0.1</v>
      </c>
      <c r="D21" s="64">
        <f>Assumptions!D3</f>
        <v>0.2</v>
      </c>
      <c r="E21" s="64">
        <f>D21</f>
        <v>0.2</v>
      </c>
      <c r="F21" s="64">
        <f aca="true" t="shared" si="3" ref="F21:AF21">E21</f>
        <v>0.2</v>
      </c>
      <c r="G21" s="64">
        <f t="shared" si="3"/>
        <v>0.2</v>
      </c>
      <c r="H21" s="64">
        <f t="shared" si="3"/>
        <v>0.2</v>
      </c>
      <c r="I21" s="64">
        <f t="shared" si="3"/>
        <v>0.2</v>
      </c>
      <c r="J21" s="64">
        <f t="shared" si="3"/>
        <v>0.2</v>
      </c>
      <c r="K21" s="64">
        <f t="shared" si="3"/>
        <v>0.2</v>
      </c>
      <c r="L21" s="64">
        <f t="shared" si="3"/>
        <v>0.2</v>
      </c>
      <c r="M21" s="64">
        <f t="shared" si="3"/>
        <v>0.2</v>
      </c>
      <c r="N21" s="64">
        <f t="shared" si="3"/>
        <v>0.2</v>
      </c>
      <c r="O21" s="64">
        <f t="shared" si="3"/>
        <v>0.2</v>
      </c>
      <c r="P21" s="64">
        <f t="shared" si="3"/>
        <v>0.2</v>
      </c>
      <c r="Q21" s="64">
        <f t="shared" si="3"/>
        <v>0.2</v>
      </c>
      <c r="R21" s="64">
        <f t="shared" si="3"/>
        <v>0.2</v>
      </c>
      <c r="S21" s="64">
        <f t="shared" si="3"/>
        <v>0.2</v>
      </c>
      <c r="T21" s="64">
        <f t="shared" si="3"/>
        <v>0.2</v>
      </c>
      <c r="U21" s="64">
        <f t="shared" si="3"/>
        <v>0.2</v>
      </c>
      <c r="V21" s="64">
        <f t="shared" si="3"/>
        <v>0.2</v>
      </c>
      <c r="W21" s="64">
        <f t="shared" si="3"/>
        <v>0.2</v>
      </c>
      <c r="X21" s="64">
        <f t="shared" si="3"/>
        <v>0.2</v>
      </c>
      <c r="Y21" s="64">
        <f t="shared" si="3"/>
        <v>0.2</v>
      </c>
      <c r="Z21" s="64">
        <f t="shared" si="3"/>
        <v>0.2</v>
      </c>
      <c r="AA21" s="64">
        <f t="shared" si="3"/>
        <v>0.2</v>
      </c>
      <c r="AB21" s="64">
        <f t="shared" si="3"/>
        <v>0.2</v>
      </c>
      <c r="AC21" s="64">
        <f t="shared" si="3"/>
        <v>0.2</v>
      </c>
      <c r="AD21" s="64">
        <f t="shared" si="3"/>
        <v>0.2</v>
      </c>
      <c r="AE21" s="64">
        <f t="shared" si="3"/>
        <v>0.2</v>
      </c>
      <c r="AF21" s="64">
        <f t="shared" si="3"/>
        <v>0.2</v>
      </c>
    </row>
    <row r="22" spans="1:32" s="107" customFormat="1" ht="24">
      <c r="A22" s="62"/>
      <c r="B22" s="63" t="s">
        <v>328</v>
      </c>
      <c r="C22" s="65" t="e">
        <f>D22</f>
        <v>#N/A</v>
      </c>
      <c r="D22" s="65" t="e">
        <f>E22</f>
        <v>#N/A</v>
      </c>
      <c r="E22" s="65" t="e">
        <f>E20/(1-E21)</f>
        <v>#N/A</v>
      </c>
      <c r="F22" s="65" t="e">
        <f>F20/(1-F21)</f>
        <v>#N/A</v>
      </c>
      <c r="G22" s="65" t="e">
        <f aca="true" t="shared" si="4" ref="G22:AF22">G20/(1-G21)</f>
        <v>#N/A</v>
      </c>
      <c r="H22" s="65" t="e">
        <f t="shared" si="4"/>
        <v>#N/A</v>
      </c>
      <c r="I22" s="65" t="e">
        <f t="shared" si="4"/>
        <v>#N/A</v>
      </c>
      <c r="J22" s="65" t="e">
        <f t="shared" si="4"/>
        <v>#N/A</v>
      </c>
      <c r="K22" s="65" t="e">
        <f t="shared" si="4"/>
        <v>#N/A</v>
      </c>
      <c r="L22" s="65" t="e">
        <f t="shared" si="4"/>
        <v>#N/A</v>
      </c>
      <c r="M22" s="65" t="e">
        <f t="shared" si="4"/>
        <v>#N/A</v>
      </c>
      <c r="N22" s="65" t="e">
        <f t="shared" si="4"/>
        <v>#N/A</v>
      </c>
      <c r="O22" s="65" t="e">
        <f t="shared" si="4"/>
        <v>#N/A</v>
      </c>
      <c r="P22" s="65" t="e">
        <f t="shared" si="4"/>
        <v>#N/A</v>
      </c>
      <c r="Q22" s="65" t="e">
        <f t="shared" si="4"/>
        <v>#N/A</v>
      </c>
      <c r="R22" s="65" t="e">
        <f t="shared" si="4"/>
        <v>#N/A</v>
      </c>
      <c r="S22" s="65" t="e">
        <f t="shared" si="4"/>
        <v>#N/A</v>
      </c>
      <c r="T22" s="65" t="e">
        <f t="shared" si="4"/>
        <v>#N/A</v>
      </c>
      <c r="U22" s="65" t="e">
        <f t="shared" si="4"/>
        <v>#N/A</v>
      </c>
      <c r="V22" s="65" t="e">
        <f t="shared" si="4"/>
        <v>#N/A</v>
      </c>
      <c r="W22" s="65" t="e">
        <f t="shared" si="4"/>
        <v>#N/A</v>
      </c>
      <c r="X22" s="65" t="e">
        <f t="shared" si="4"/>
        <v>#N/A</v>
      </c>
      <c r="Y22" s="65" t="e">
        <f t="shared" si="4"/>
        <v>#N/A</v>
      </c>
      <c r="Z22" s="65" t="e">
        <f t="shared" si="4"/>
        <v>#N/A</v>
      </c>
      <c r="AA22" s="65" t="e">
        <f t="shared" si="4"/>
        <v>#N/A</v>
      </c>
      <c r="AB22" s="65" t="e">
        <f t="shared" si="4"/>
        <v>#N/A</v>
      </c>
      <c r="AC22" s="65" t="e">
        <f t="shared" si="4"/>
        <v>#N/A</v>
      </c>
      <c r="AD22" s="65" t="e">
        <f t="shared" si="4"/>
        <v>#N/A</v>
      </c>
      <c r="AE22" s="65" t="e">
        <f t="shared" si="4"/>
        <v>#N/A</v>
      </c>
      <c r="AF22" s="65" t="e">
        <f t="shared" si="4"/>
        <v>#N/A</v>
      </c>
    </row>
    <row r="23" spans="1:32" s="107" customFormat="1" ht="24">
      <c r="A23" s="62"/>
      <c r="B23" s="63" t="s">
        <v>262</v>
      </c>
      <c r="C23" s="64">
        <f>(1/Assumptions!$D$7)*(1/Assumptions!$D$9)</f>
        <v>1.3071895424836601</v>
      </c>
      <c r="D23" s="64">
        <f>C23</f>
        <v>1.3071895424836601</v>
      </c>
      <c r="E23" s="64">
        <f>D23</f>
        <v>1.3071895424836601</v>
      </c>
      <c r="F23" s="64">
        <f>E23</f>
        <v>1.3071895424836601</v>
      </c>
      <c r="G23" s="64">
        <f aca="true" t="shared" si="5" ref="G23:AF23">F23</f>
        <v>1.3071895424836601</v>
      </c>
      <c r="H23" s="64">
        <f t="shared" si="5"/>
        <v>1.3071895424836601</v>
      </c>
      <c r="I23" s="64">
        <f t="shared" si="5"/>
        <v>1.3071895424836601</v>
      </c>
      <c r="J23" s="64">
        <f t="shared" si="5"/>
        <v>1.3071895424836601</v>
      </c>
      <c r="K23" s="64">
        <f t="shared" si="5"/>
        <v>1.3071895424836601</v>
      </c>
      <c r="L23" s="64">
        <f t="shared" si="5"/>
        <v>1.3071895424836601</v>
      </c>
      <c r="M23" s="64">
        <f t="shared" si="5"/>
        <v>1.3071895424836601</v>
      </c>
      <c r="N23" s="64">
        <f t="shared" si="5"/>
        <v>1.3071895424836601</v>
      </c>
      <c r="O23" s="64">
        <f t="shared" si="5"/>
        <v>1.3071895424836601</v>
      </c>
      <c r="P23" s="64">
        <f t="shared" si="5"/>
        <v>1.3071895424836601</v>
      </c>
      <c r="Q23" s="64">
        <f t="shared" si="5"/>
        <v>1.3071895424836601</v>
      </c>
      <c r="R23" s="64">
        <f t="shared" si="5"/>
        <v>1.3071895424836601</v>
      </c>
      <c r="S23" s="64">
        <f t="shared" si="5"/>
        <v>1.3071895424836601</v>
      </c>
      <c r="T23" s="64">
        <f t="shared" si="5"/>
        <v>1.3071895424836601</v>
      </c>
      <c r="U23" s="64">
        <f t="shared" si="5"/>
        <v>1.3071895424836601</v>
      </c>
      <c r="V23" s="64">
        <f t="shared" si="5"/>
        <v>1.3071895424836601</v>
      </c>
      <c r="W23" s="64">
        <f t="shared" si="5"/>
        <v>1.3071895424836601</v>
      </c>
      <c r="X23" s="64">
        <f t="shared" si="5"/>
        <v>1.3071895424836601</v>
      </c>
      <c r="Y23" s="64">
        <f t="shared" si="5"/>
        <v>1.3071895424836601</v>
      </c>
      <c r="Z23" s="64">
        <f t="shared" si="5"/>
        <v>1.3071895424836601</v>
      </c>
      <c r="AA23" s="64">
        <f t="shared" si="5"/>
        <v>1.3071895424836601</v>
      </c>
      <c r="AB23" s="64">
        <f t="shared" si="5"/>
        <v>1.3071895424836601</v>
      </c>
      <c r="AC23" s="64">
        <f t="shared" si="5"/>
        <v>1.3071895424836601</v>
      </c>
      <c r="AD23" s="64">
        <f t="shared" si="5"/>
        <v>1.3071895424836601</v>
      </c>
      <c r="AE23" s="64">
        <f t="shared" si="5"/>
        <v>1.3071895424836601</v>
      </c>
      <c r="AF23" s="64">
        <f t="shared" si="5"/>
        <v>1.3071895424836601</v>
      </c>
    </row>
    <row r="24" spans="1:32" s="107" customFormat="1" ht="12.75">
      <c r="A24" s="62"/>
      <c r="B24" s="63" t="s">
        <v>329</v>
      </c>
      <c r="C24" s="65" t="e">
        <f aca="true" t="shared" si="6" ref="C24:AF24">(C22-C20)*C23</f>
        <v>#N/A</v>
      </c>
      <c r="D24" s="65" t="e">
        <f t="shared" si="6"/>
        <v>#N/A</v>
      </c>
      <c r="E24" s="65" t="e">
        <f t="shared" si="6"/>
        <v>#N/A</v>
      </c>
      <c r="F24" s="65" t="e">
        <f t="shared" si="6"/>
        <v>#N/A</v>
      </c>
      <c r="G24" s="65" t="e">
        <f t="shared" si="6"/>
        <v>#N/A</v>
      </c>
      <c r="H24" s="65" t="e">
        <f t="shared" si="6"/>
        <v>#N/A</v>
      </c>
      <c r="I24" s="65" t="e">
        <f t="shared" si="6"/>
        <v>#N/A</v>
      </c>
      <c r="J24" s="65" t="e">
        <f t="shared" si="6"/>
        <v>#N/A</v>
      </c>
      <c r="K24" s="65" t="e">
        <f t="shared" si="6"/>
        <v>#N/A</v>
      </c>
      <c r="L24" s="65" t="e">
        <f t="shared" si="6"/>
        <v>#N/A</v>
      </c>
      <c r="M24" s="65" t="e">
        <f t="shared" si="6"/>
        <v>#N/A</v>
      </c>
      <c r="N24" s="65" t="e">
        <f t="shared" si="6"/>
        <v>#N/A</v>
      </c>
      <c r="O24" s="65" t="e">
        <f t="shared" si="6"/>
        <v>#N/A</v>
      </c>
      <c r="P24" s="65" t="e">
        <f t="shared" si="6"/>
        <v>#N/A</v>
      </c>
      <c r="Q24" s="65" t="e">
        <f t="shared" si="6"/>
        <v>#N/A</v>
      </c>
      <c r="R24" s="65" t="e">
        <f t="shared" si="6"/>
        <v>#N/A</v>
      </c>
      <c r="S24" s="65" t="e">
        <f t="shared" si="6"/>
        <v>#N/A</v>
      </c>
      <c r="T24" s="65" t="e">
        <f t="shared" si="6"/>
        <v>#N/A</v>
      </c>
      <c r="U24" s="65" t="e">
        <f t="shared" si="6"/>
        <v>#N/A</v>
      </c>
      <c r="V24" s="65" t="e">
        <f t="shared" si="6"/>
        <v>#N/A</v>
      </c>
      <c r="W24" s="65" t="e">
        <f t="shared" si="6"/>
        <v>#N/A</v>
      </c>
      <c r="X24" s="65" t="e">
        <f t="shared" si="6"/>
        <v>#N/A</v>
      </c>
      <c r="Y24" s="65" t="e">
        <f t="shared" si="6"/>
        <v>#N/A</v>
      </c>
      <c r="Z24" s="65" t="e">
        <f t="shared" si="6"/>
        <v>#N/A</v>
      </c>
      <c r="AA24" s="65" t="e">
        <f t="shared" si="6"/>
        <v>#N/A</v>
      </c>
      <c r="AB24" s="65" t="e">
        <f t="shared" si="6"/>
        <v>#N/A</v>
      </c>
      <c r="AC24" s="65" t="e">
        <f t="shared" si="6"/>
        <v>#N/A</v>
      </c>
      <c r="AD24" s="65" t="e">
        <f t="shared" si="6"/>
        <v>#N/A</v>
      </c>
      <c r="AE24" s="65" t="e">
        <f t="shared" si="6"/>
        <v>#N/A</v>
      </c>
      <c r="AF24" s="65" t="e">
        <f t="shared" si="6"/>
        <v>#N/A</v>
      </c>
    </row>
    <row r="25" ht="12.75"/>
    <row r="26" spans="2:3" ht="12.75">
      <c r="B26" s="57" t="s">
        <v>330</v>
      </c>
      <c r="C26" s="92" t="s">
        <v>85</v>
      </c>
    </row>
    <row r="27" spans="1:32" s="107" customFormat="1" ht="12.75">
      <c r="A27" s="62"/>
      <c r="B27" s="63" t="s">
        <v>48</v>
      </c>
      <c r="C27" s="66">
        <f>VLOOKUP(C$11,'IAG Fuel Price Projections'!$B$7:$U$97,IF($C26="Low",13,IF($C26="Central",16,19)),0)</f>
        <v>3.316620245507792</v>
      </c>
      <c r="D27" s="66">
        <f>VLOOKUP(D$11,'IAG Fuel Price Projections'!$B$7:$U$97,IF($C26="Low",13,IF($C26="Central",16,19)),0)</f>
        <v>3.4415054424423825</v>
      </c>
      <c r="E27" s="66">
        <f>VLOOKUP(E$11,'IAG Fuel Price Projections'!$B$7:$U$97,IF($C26="Low",13,IF($C26="Central",16,19)),0)</f>
        <v>3.485413547252341</v>
      </c>
      <c r="F27" s="66">
        <f>VLOOKUP(F$11,'IAG Fuel Price Projections'!$B$7:$U$97,IF($C26="Low",13,IF($C26="Central",16,19)),0)</f>
        <v>3.5563140161038436</v>
      </c>
      <c r="G27" s="66">
        <f>VLOOKUP(G$11,'IAG Fuel Price Projections'!$B$7:$U$97,IF($C26="Low",13,IF($C26="Central",16,19)),0)</f>
        <v>3.6272144849553465</v>
      </c>
      <c r="H27" s="66">
        <f>VLOOKUP(H$11,'IAG Fuel Price Projections'!$B$7:$U$97,IF($C26="Low",13,IF($C26="Central",16,19)),0)</f>
        <v>3.6364181217118916</v>
      </c>
      <c r="I27" s="66">
        <f>VLOOKUP(I$11,'IAG Fuel Price Projections'!$B$7:$U$97,IF($C26="Low",13,IF($C26="Central",16,19)),0)</f>
        <v>3.645621758468436</v>
      </c>
      <c r="J27" s="66">
        <f>VLOOKUP(J$11,'IAG Fuel Price Projections'!$B$7:$U$97,IF($C26="Low",13,IF($C26="Central",16,19)),0)</f>
        <v>3.654825395224981</v>
      </c>
      <c r="K27" s="66">
        <f>VLOOKUP(K$11,'IAG Fuel Price Projections'!$B$7:$U$97,IF($C26="Low",13,IF($C26="Central",16,19)),0)</f>
        <v>3.6640290319815247</v>
      </c>
      <c r="L27" s="66">
        <f>VLOOKUP(L$11,'IAG Fuel Price Projections'!$B$7:$U$97,IF($C26="Low",13,IF($C26="Central",16,19)),0)</f>
        <v>3.673232668738069</v>
      </c>
      <c r="M27" s="66">
        <f>VLOOKUP(M$11,'IAG Fuel Price Projections'!$B$7:$U$97,IF($C26="Low",13,IF($C26="Central",16,19)),0)</f>
        <v>3.682436305494614</v>
      </c>
      <c r="N27" s="66">
        <f>VLOOKUP(N$11,'IAG Fuel Price Projections'!$B$7:$U$97,IF($C26="Low",13,IF($C26="Central",16,19)),0)</f>
        <v>3.6916399422511583</v>
      </c>
      <c r="O27" s="66">
        <f>VLOOKUP(O$11,'IAG Fuel Price Projections'!$B$7:$U$97,IF($C26="Low",13,IF($C26="Central",16,19)),0)</f>
        <v>3.7008435790077034</v>
      </c>
      <c r="P27" s="66">
        <f>VLOOKUP(P$11,'IAG Fuel Price Projections'!$B$7:$U$97,IF($C26="Low",13,IF($C26="Central",16,19)),0)</f>
        <v>3.7100472157642477</v>
      </c>
      <c r="Q27" s="66">
        <f>VLOOKUP(Q$11,'IAG Fuel Price Projections'!$B$7:$U$97,IF($C26="Low",13,IF($C26="Central",16,19)),0)</f>
        <v>3.719250852520792</v>
      </c>
      <c r="R27" s="66">
        <f>VLOOKUP(R$11,'IAG Fuel Price Projections'!$B$7:$U$97,IF($C26="Low",13,IF($C26="Central",16,19)),0)</f>
        <v>3.728454489277337</v>
      </c>
      <c r="S27" s="66">
        <f>VLOOKUP(S$11,'IAG Fuel Price Projections'!$B$7:$U$97,IF($C26="Low",13,IF($C26="Central",16,19)),0)</f>
        <v>3.737658126033881</v>
      </c>
      <c r="T27" s="66">
        <f>VLOOKUP(T$11,'IAG Fuel Price Projections'!$B$7:$U$97,IF($C26="Low",13,IF($C26="Central",16,19)),0)</f>
        <v>3.737658126033881</v>
      </c>
      <c r="U27" s="66">
        <f>VLOOKUP(U$11,'IAG Fuel Price Projections'!$B$7:$U$97,IF($C26="Low",13,IF($C26="Central",16,19)),0)</f>
        <v>3.737658126033881</v>
      </c>
      <c r="V27" s="66">
        <f>VLOOKUP(V$11,'IAG Fuel Price Projections'!$B$7:$U$97,IF($C26="Low",13,IF($C26="Central",16,19)),0)</f>
        <v>3.737658126033881</v>
      </c>
      <c r="W27" s="66">
        <f>VLOOKUP(W$11,'IAG Fuel Price Projections'!$B$7:$U$97,IF($C26="Low",13,IF($C26="Central",16,19)),0)</f>
        <v>3.737658126033881</v>
      </c>
      <c r="X27" s="66">
        <f>VLOOKUP(X$11,'IAG Fuel Price Projections'!$B$7:$U$97,IF($C26="Low",13,IF($C26="Central",16,19)),0)</f>
        <v>3.737658126033881</v>
      </c>
      <c r="Y27" s="66">
        <f>VLOOKUP(Y$11,'IAG Fuel Price Projections'!$B$7:$U$97,IF($C26="Low",13,IF($C26="Central",16,19)),0)</f>
        <v>3.737658126033881</v>
      </c>
      <c r="Z27" s="66">
        <f>VLOOKUP(Z$11,'IAG Fuel Price Projections'!$B$7:$U$97,IF($C26="Low",13,IF($C26="Central",16,19)),0)</f>
        <v>3.737658126033881</v>
      </c>
      <c r="AA27" s="66">
        <f>VLOOKUP(AA$11,'IAG Fuel Price Projections'!$B$7:$U$97,IF($C26="Low",13,IF($C26="Central",16,19)),0)</f>
        <v>3.737658126033881</v>
      </c>
      <c r="AB27" s="66">
        <f>VLOOKUP(AB$11,'IAG Fuel Price Projections'!$B$7:$U$97,IF($C26="Low",13,IF($C26="Central",16,19)),0)</f>
        <v>3.737658126033881</v>
      </c>
      <c r="AC27" s="66">
        <f>VLOOKUP(AC$11,'IAG Fuel Price Projections'!$B$7:$U$97,IF($C26="Low",13,IF($C26="Central",16,19)),0)</f>
        <v>3.737658126033881</v>
      </c>
      <c r="AD27" s="66">
        <f>VLOOKUP(AD$11,'IAG Fuel Price Projections'!$B$7:$U$97,IF($C26="Low",13,IF($C26="Central",16,19)),0)</f>
        <v>3.737658126033881</v>
      </c>
      <c r="AE27" s="66">
        <f>VLOOKUP(AE$11,'IAG Fuel Price Projections'!$B$7:$U$97,IF($C26="Low",13,IF($C26="Central",16,19)),0)</f>
        <v>3.737658126033881</v>
      </c>
      <c r="AF27" s="66">
        <f>VLOOKUP(AF$11,'IAG Fuel Price Projections'!$B$7:$U$97,IF($C26="Low",13,IF($C26="Central",16,19)),0)</f>
        <v>3.737658126033881</v>
      </c>
    </row>
    <row r="28" spans="1:32" s="73" customFormat="1" ht="12.75">
      <c r="A28" s="71"/>
      <c r="B28" s="70" t="s">
        <v>49</v>
      </c>
      <c r="C28" s="72" t="e">
        <f>C24*C27*0.01</f>
        <v>#N/A</v>
      </c>
      <c r="D28" s="72" t="e">
        <f aca="true" t="shared" si="7" ref="D28:AF28">D24*D27*0.01</f>
        <v>#N/A</v>
      </c>
      <c r="E28" s="72" t="e">
        <f t="shared" si="7"/>
        <v>#N/A</v>
      </c>
      <c r="F28" s="72" t="e">
        <f t="shared" si="7"/>
        <v>#N/A</v>
      </c>
      <c r="G28" s="72" t="e">
        <f t="shared" si="7"/>
        <v>#N/A</v>
      </c>
      <c r="H28" s="72" t="e">
        <f t="shared" si="7"/>
        <v>#N/A</v>
      </c>
      <c r="I28" s="72" t="e">
        <f t="shared" si="7"/>
        <v>#N/A</v>
      </c>
      <c r="J28" s="72" t="e">
        <f t="shared" si="7"/>
        <v>#N/A</v>
      </c>
      <c r="K28" s="72" t="e">
        <f t="shared" si="7"/>
        <v>#N/A</v>
      </c>
      <c r="L28" s="72" t="e">
        <f t="shared" si="7"/>
        <v>#N/A</v>
      </c>
      <c r="M28" s="72" t="e">
        <f t="shared" si="7"/>
        <v>#N/A</v>
      </c>
      <c r="N28" s="72" t="e">
        <f t="shared" si="7"/>
        <v>#N/A</v>
      </c>
      <c r="O28" s="72" t="e">
        <f t="shared" si="7"/>
        <v>#N/A</v>
      </c>
      <c r="P28" s="72" t="e">
        <f t="shared" si="7"/>
        <v>#N/A</v>
      </c>
      <c r="Q28" s="72" t="e">
        <f t="shared" si="7"/>
        <v>#N/A</v>
      </c>
      <c r="R28" s="72" t="e">
        <f t="shared" si="7"/>
        <v>#N/A</v>
      </c>
      <c r="S28" s="72" t="e">
        <f t="shared" si="7"/>
        <v>#N/A</v>
      </c>
      <c r="T28" s="72" t="e">
        <f t="shared" si="7"/>
        <v>#N/A</v>
      </c>
      <c r="U28" s="72" t="e">
        <f t="shared" si="7"/>
        <v>#N/A</v>
      </c>
      <c r="V28" s="72" t="e">
        <f t="shared" si="7"/>
        <v>#N/A</v>
      </c>
      <c r="W28" s="72" t="e">
        <f t="shared" si="7"/>
        <v>#N/A</v>
      </c>
      <c r="X28" s="72" t="e">
        <f t="shared" si="7"/>
        <v>#N/A</v>
      </c>
      <c r="Y28" s="72" t="e">
        <f t="shared" si="7"/>
        <v>#N/A</v>
      </c>
      <c r="Z28" s="72" t="e">
        <f t="shared" si="7"/>
        <v>#N/A</v>
      </c>
      <c r="AA28" s="72" t="e">
        <f t="shared" si="7"/>
        <v>#N/A</v>
      </c>
      <c r="AB28" s="72" t="e">
        <f t="shared" si="7"/>
        <v>#N/A</v>
      </c>
      <c r="AC28" s="72" t="e">
        <f t="shared" si="7"/>
        <v>#N/A</v>
      </c>
      <c r="AD28" s="72" t="e">
        <f t="shared" si="7"/>
        <v>#N/A</v>
      </c>
      <c r="AE28" s="72" t="e">
        <f t="shared" si="7"/>
        <v>#N/A</v>
      </c>
      <c r="AF28" s="72" t="e">
        <f t="shared" si="7"/>
        <v>#N/A</v>
      </c>
    </row>
    <row r="29" ht="12.75"/>
    <row r="30" spans="1:32" ht="12.75">
      <c r="A30" s="277"/>
      <c r="B30" s="67" t="s">
        <v>351</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row>
    <row r="31" spans="2:13" ht="12.75">
      <c r="B31" s="39" t="s">
        <v>343</v>
      </c>
      <c r="E31" s="39" t="s">
        <v>339</v>
      </c>
      <c r="M31" s="39" t="s">
        <v>246</v>
      </c>
    </row>
    <row r="32" spans="2:13" ht="12.75">
      <c r="B32" s="57" t="s">
        <v>222</v>
      </c>
      <c r="C32" s="281">
        <f>Costs!C5</f>
        <v>200</v>
      </c>
      <c r="E32" s="78" t="s">
        <v>605</v>
      </c>
      <c r="F32" s="282" t="e">
        <f>ROUNDUP(C35/C33,0)</f>
        <v>#DIV/0!</v>
      </c>
      <c r="M32" s="39" t="s">
        <v>424</v>
      </c>
    </row>
    <row r="33" spans="2:14" ht="12.75">
      <c r="B33" s="57" t="s">
        <v>331</v>
      </c>
      <c r="C33" s="282">
        <f>'User Interface'!C14</f>
        <v>0</v>
      </c>
      <c r="E33" s="78" t="s">
        <v>340</v>
      </c>
      <c r="F33" s="282" t="e">
        <f>ROUNDUP((C35/C33)/250,0)*C33</f>
        <v>#DIV/0!</v>
      </c>
      <c r="L33" s="155" t="s">
        <v>618</v>
      </c>
      <c r="M33" s="281">
        <f>IF(AND('User Interface'!C54="No",'User Interface'!C55="No",'User Interface'!C56="No"),Costs!C70,0)</f>
        <v>0</v>
      </c>
      <c r="N33" s="39" t="str">
        <f>IF(M33=0,"Controls already present","No controls, so this is added cost per dwelling")</f>
        <v>Controls already present</v>
      </c>
    </row>
    <row r="34" spans="2:14" ht="12.75">
      <c r="B34" s="57" t="s">
        <v>290</v>
      </c>
      <c r="C34" s="282">
        <f>'User Interface'!C45</f>
        <v>0</v>
      </c>
      <c r="E34" s="78" t="s">
        <v>338</v>
      </c>
      <c r="F34" s="283" t="e">
        <f>IF(F32&lt;=8,Costs!C20,IF(F32&lt;=32,Costs!C19,IF(F32&lt;=64,Costs!C18,IF(F32&lt;=250,Costs!C17,Costs!C17))))*F33</f>
        <v>#DIV/0!</v>
      </c>
      <c r="M34" s="281">
        <f>Costs!C70</f>
        <v>50</v>
      </c>
      <c r="N34" s="39" t="s">
        <v>611</v>
      </c>
    </row>
    <row r="35" spans="2:10" ht="12.75">
      <c r="B35" s="98" t="s">
        <v>333</v>
      </c>
      <c r="C35" s="278">
        <f>Controller!D21</f>
        <v>0</v>
      </c>
      <c r="E35" s="78" t="s">
        <v>335</v>
      </c>
      <c r="F35" s="284" t="e">
        <f>((ROUNDDOWN(((C35/C33)/250),0)*7500)+IF(((C35/C33)-(ROUNDDOWN((C35/C33/250),0)*250))&lt;51,((C35/C33)-(ROUNDDOWN((C35/C33/250),0)*250))*Costs!D24,IF(((C35/C33)-(ROUNDDOWN((C35/C33/250),0)*250))&lt;151,2500+(((C35/C33)-50-(ROUNDDOWN((C35/C33/250),0)*250))*Costs!D25),5500+(((C35/C33)-150-(ROUNDDOWN((C35/C33/250),0)*250))*Costs!D27))))*C33</f>
        <v>#DIV/0!</v>
      </c>
      <c r="J35" s="285"/>
    </row>
    <row r="36" spans="2:6" ht="12.75">
      <c r="B36" s="57" t="s">
        <v>332</v>
      </c>
      <c r="C36" s="282" t="e">
        <f>C35/(C34*C33)</f>
        <v>#DIV/0!</v>
      </c>
      <c r="E36" s="79" t="s">
        <v>336</v>
      </c>
      <c r="F36" s="283">
        <f>Costs!C29*C35</f>
        <v>0</v>
      </c>
    </row>
    <row r="37" spans="2:6" ht="12.75">
      <c r="B37" s="57" t="s">
        <v>224</v>
      </c>
      <c r="C37" s="281">
        <f>Costs!C12</f>
        <v>105</v>
      </c>
      <c r="E37" s="79" t="s">
        <v>341</v>
      </c>
      <c r="F37" s="283" t="e">
        <f>IF(SUM('User Interface'!C39:C41)&gt;0,0,IF(C36&lt;5,ROUNDUP((C34/2),0)*Costs!C31,IF(C36&lt;9,ROUNDUP((C34/2),0)*Costs!C32,ROUNDUP((C34/2),0)*Costs!C33)))*C33</f>
        <v>#DIV/0!</v>
      </c>
    </row>
    <row r="38" spans="2:6" ht="24">
      <c r="B38" s="97" t="s">
        <v>489</v>
      </c>
      <c r="C38" s="283">
        <f>IF(OR('Domestic Benchmarks'!D2=Lists!AA36,'User Interface'!C53=Lists!AA38),C32,0)</f>
        <v>0</v>
      </c>
      <c r="E38" s="79" t="s">
        <v>342</v>
      </c>
      <c r="F38" s="283" t="e">
        <f>(F34+F35+F36+F37)/C35</f>
        <v>#DIV/0!</v>
      </c>
    </row>
    <row r="39" ht="12.75"/>
    <row r="40" spans="1:32" s="107" customFormat="1" ht="12.75">
      <c r="A40" s="62"/>
      <c r="B40" s="63" t="s">
        <v>344</v>
      </c>
      <c r="C40" s="80">
        <f>Costs!C36*C35</f>
        <v>0</v>
      </c>
      <c r="D40" s="80">
        <f>C40</f>
        <v>0</v>
      </c>
      <c r="E40" s="80">
        <f aca="true" t="shared" si="8" ref="E40:AF40">D40</f>
        <v>0</v>
      </c>
      <c r="F40" s="80">
        <f t="shared" si="8"/>
        <v>0</v>
      </c>
      <c r="G40" s="80">
        <f t="shared" si="8"/>
        <v>0</v>
      </c>
      <c r="H40" s="80">
        <f t="shared" si="8"/>
        <v>0</v>
      </c>
      <c r="I40" s="80">
        <f t="shared" si="8"/>
        <v>0</v>
      </c>
      <c r="J40" s="80">
        <f t="shared" si="8"/>
        <v>0</v>
      </c>
      <c r="K40" s="80">
        <f t="shared" si="8"/>
        <v>0</v>
      </c>
      <c r="L40" s="80">
        <f t="shared" si="8"/>
        <v>0</v>
      </c>
      <c r="M40" s="80">
        <f t="shared" si="8"/>
        <v>0</v>
      </c>
      <c r="N40" s="80">
        <f t="shared" si="8"/>
        <v>0</v>
      </c>
      <c r="O40" s="80">
        <f t="shared" si="8"/>
        <v>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0</v>
      </c>
      <c r="AB40" s="80">
        <f t="shared" si="8"/>
        <v>0</v>
      </c>
      <c r="AC40" s="80">
        <f t="shared" si="8"/>
        <v>0</v>
      </c>
      <c r="AD40" s="80">
        <f t="shared" si="8"/>
        <v>0</v>
      </c>
      <c r="AE40" s="80">
        <f t="shared" si="8"/>
        <v>0</v>
      </c>
      <c r="AF40" s="80">
        <f t="shared" si="8"/>
        <v>0</v>
      </c>
    </row>
    <row r="41" spans="1:32" s="107" customFormat="1" ht="12.75">
      <c r="A41" s="62"/>
      <c r="B41" s="63" t="s">
        <v>345</v>
      </c>
      <c r="C41" s="80" t="e">
        <f>(C32+C37+F38+C38)*C35</f>
        <v>#DIV/0!</v>
      </c>
      <c r="D41" s="80">
        <v>0</v>
      </c>
      <c r="E41" s="80">
        <v>0</v>
      </c>
      <c r="F41" s="80">
        <v>0</v>
      </c>
      <c r="G41" s="80">
        <v>0</v>
      </c>
      <c r="H41" s="80">
        <v>0</v>
      </c>
      <c r="I41" s="80">
        <v>0</v>
      </c>
      <c r="J41" s="80">
        <v>0</v>
      </c>
      <c r="K41" s="80">
        <v>0</v>
      </c>
      <c r="L41" s="80">
        <v>0</v>
      </c>
      <c r="M41" s="80" t="e">
        <f>((C32+Costs!C7+F38+C38)*C35)-(F36/C35)</f>
        <v>#DIV/0!</v>
      </c>
      <c r="N41" s="80">
        <v>0</v>
      </c>
      <c r="O41" s="80">
        <v>0</v>
      </c>
      <c r="P41" s="80">
        <v>0</v>
      </c>
      <c r="Q41" s="80">
        <f>M34</f>
        <v>50</v>
      </c>
      <c r="R41" s="80">
        <v>0</v>
      </c>
      <c r="S41" s="80">
        <v>0</v>
      </c>
      <c r="T41" s="80">
        <v>0</v>
      </c>
      <c r="U41" s="80">
        <v>0</v>
      </c>
      <c r="V41" s="80">
        <v>0</v>
      </c>
      <c r="W41" s="80" t="e">
        <f>M41</f>
        <v>#DIV/0!</v>
      </c>
      <c r="X41" s="80">
        <v>0</v>
      </c>
      <c r="Y41" s="80">
        <v>0</v>
      </c>
      <c r="Z41" s="80">
        <v>0</v>
      </c>
      <c r="AA41" s="80">
        <v>0</v>
      </c>
      <c r="AB41" s="80">
        <v>0</v>
      </c>
      <c r="AC41" s="80">
        <v>0</v>
      </c>
      <c r="AD41" s="80">
        <v>0</v>
      </c>
      <c r="AE41" s="80">
        <v>0</v>
      </c>
      <c r="AF41" s="80">
        <v>0</v>
      </c>
    </row>
    <row r="42" spans="1:32" s="73" customFormat="1" ht="12.75">
      <c r="A42" s="71"/>
      <c r="B42" s="70" t="s">
        <v>346</v>
      </c>
      <c r="C42" s="72" t="e">
        <f>C41+C40</f>
        <v>#DIV/0!</v>
      </c>
      <c r="D42" s="72">
        <f aca="true" t="shared" si="9" ref="D42:AF42">D41+D40</f>
        <v>0</v>
      </c>
      <c r="E42" s="72">
        <f t="shared" si="9"/>
        <v>0</v>
      </c>
      <c r="F42" s="72">
        <f t="shared" si="9"/>
        <v>0</v>
      </c>
      <c r="G42" s="72">
        <f t="shared" si="9"/>
        <v>0</v>
      </c>
      <c r="H42" s="72">
        <f t="shared" si="9"/>
        <v>0</v>
      </c>
      <c r="I42" s="72">
        <f t="shared" si="9"/>
        <v>0</v>
      </c>
      <c r="J42" s="72">
        <f t="shared" si="9"/>
        <v>0</v>
      </c>
      <c r="K42" s="72">
        <f t="shared" si="9"/>
        <v>0</v>
      </c>
      <c r="L42" s="72">
        <f t="shared" si="9"/>
        <v>0</v>
      </c>
      <c r="M42" s="72" t="e">
        <f t="shared" si="9"/>
        <v>#DIV/0!</v>
      </c>
      <c r="N42" s="72">
        <f t="shared" si="9"/>
        <v>0</v>
      </c>
      <c r="O42" s="72">
        <f t="shared" si="9"/>
        <v>0</v>
      </c>
      <c r="P42" s="72">
        <f t="shared" si="9"/>
        <v>0</v>
      </c>
      <c r="Q42" s="72">
        <f t="shared" si="9"/>
        <v>50</v>
      </c>
      <c r="R42" s="72">
        <f t="shared" si="9"/>
        <v>0</v>
      </c>
      <c r="S42" s="72">
        <f t="shared" si="9"/>
        <v>0</v>
      </c>
      <c r="T42" s="72">
        <f t="shared" si="9"/>
        <v>0</v>
      </c>
      <c r="U42" s="72">
        <f t="shared" si="9"/>
        <v>0</v>
      </c>
      <c r="V42" s="72">
        <f t="shared" si="9"/>
        <v>0</v>
      </c>
      <c r="W42" s="72" t="e">
        <f t="shared" si="9"/>
        <v>#DIV/0!</v>
      </c>
      <c r="X42" s="72">
        <f t="shared" si="9"/>
        <v>0</v>
      </c>
      <c r="Y42" s="72">
        <f t="shared" si="9"/>
        <v>0</v>
      </c>
      <c r="Z42" s="72">
        <f t="shared" si="9"/>
        <v>0</v>
      </c>
      <c r="AA42" s="72">
        <f t="shared" si="9"/>
        <v>0</v>
      </c>
      <c r="AB42" s="72">
        <f t="shared" si="9"/>
        <v>0</v>
      </c>
      <c r="AC42" s="72">
        <f t="shared" si="9"/>
        <v>0</v>
      </c>
      <c r="AD42" s="72">
        <f t="shared" si="9"/>
        <v>0</v>
      </c>
      <c r="AE42" s="72">
        <f t="shared" si="9"/>
        <v>0</v>
      </c>
      <c r="AF42" s="72">
        <f t="shared" si="9"/>
        <v>0</v>
      </c>
    </row>
    <row r="43" ht="12.75"/>
    <row r="44" spans="1:32" ht="12.75">
      <c r="A44" s="277"/>
      <c r="B44" s="67" t="s">
        <v>352</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row>
    <row r="45" spans="2:3" ht="12.75">
      <c r="B45" s="57" t="s">
        <v>356</v>
      </c>
      <c r="C45" s="281">
        <f>Costs!B42</f>
        <v>40</v>
      </c>
    </row>
    <row r="46" spans="2:3" ht="12.75">
      <c r="B46" s="97" t="s">
        <v>354</v>
      </c>
      <c r="C46" s="286">
        <f>Controller!D27</f>
        <v>0</v>
      </c>
    </row>
    <row r="47" spans="2:3" ht="12.75">
      <c r="B47" s="97" t="s">
        <v>355</v>
      </c>
      <c r="C47" s="283">
        <f>C46*C45</f>
        <v>0</v>
      </c>
    </row>
    <row r="48" spans="2:3" ht="24">
      <c r="B48" s="97" t="s">
        <v>223</v>
      </c>
      <c r="C48" s="283" t="e">
        <f>F38</f>
        <v>#DIV/0!</v>
      </c>
    </row>
    <row r="49" spans="2:3" ht="12.75">
      <c r="B49" s="97" t="s">
        <v>358</v>
      </c>
      <c r="C49" s="283">
        <f>IF('Domestic Benchmarks'!D2="From local electric or gas heaters",0,Costs!E42)</f>
        <v>150</v>
      </c>
    </row>
    <row r="50" ht="12.75"/>
    <row r="51" spans="1:32" s="107" customFormat="1" ht="12.75">
      <c r="A51" s="62"/>
      <c r="B51" s="63" t="s">
        <v>344</v>
      </c>
      <c r="C51" s="80">
        <f>Costs!B45*C35</f>
        <v>0</v>
      </c>
      <c r="D51" s="80">
        <f>C51</f>
        <v>0</v>
      </c>
      <c r="E51" s="80">
        <f aca="true" t="shared" si="10" ref="E51:AF51">D51</f>
        <v>0</v>
      </c>
      <c r="F51" s="80">
        <f t="shared" si="10"/>
        <v>0</v>
      </c>
      <c r="G51" s="80">
        <f t="shared" si="10"/>
        <v>0</v>
      </c>
      <c r="H51" s="80">
        <f t="shared" si="10"/>
        <v>0</v>
      </c>
      <c r="I51" s="80">
        <f t="shared" si="10"/>
        <v>0</v>
      </c>
      <c r="J51" s="80">
        <f t="shared" si="10"/>
        <v>0</v>
      </c>
      <c r="K51" s="80">
        <f t="shared" si="10"/>
        <v>0</v>
      </c>
      <c r="L51" s="80">
        <f t="shared" si="10"/>
        <v>0</v>
      </c>
      <c r="M51" s="80">
        <f t="shared" si="10"/>
        <v>0</v>
      </c>
      <c r="N51" s="80">
        <f t="shared" si="10"/>
        <v>0</v>
      </c>
      <c r="O51" s="80">
        <f t="shared" si="10"/>
        <v>0</v>
      </c>
      <c r="P51" s="80">
        <f t="shared" si="10"/>
        <v>0</v>
      </c>
      <c r="Q51" s="80">
        <f t="shared" si="10"/>
        <v>0</v>
      </c>
      <c r="R51" s="80">
        <f t="shared" si="10"/>
        <v>0</v>
      </c>
      <c r="S51" s="80">
        <f t="shared" si="10"/>
        <v>0</v>
      </c>
      <c r="T51" s="80">
        <f t="shared" si="10"/>
        <v>0</v>
      </c>
      <c r="U51" s="80">
        <f t="shared" si="10"/>
        <v>0</v>
      </c>
      <c r="V51" s="80">
        <f t="shared" si="10"/>
        <v>0</v>
      </c>
      <c r="W51" s="80">
        <f t="shared" si="10"/>
        <v>0</v>
      </c>
      <c r="X51" s="80">
        <f t="shared" si="10"/>
        <v>0</v>
      </c>
      <c r="Y51" s="80">
        <f t="shared" si="10"/>
        <v>0</v>
      </c>
      <c r="Z51" s="80">
        <f t="shared" si="10"/>
        <v>0</v>
      </c>
      <c r="AA51" s="80">
        <f t="shared" si="10"/>
        <v>0</v>
      </c>
      <c r="AB51" s="80">
        <f t="shared" si="10"/>
        <v>0</v>
      </c>
      <c r="AC51" s="80">
        <f t="shared" si="10"/>
        <v>0</v>
      </c>
      <c r="AD51" s="80">
        <f t="shared" si="10"/>
        <v>0</v>
      </c>
      <c r="AE51" s="80">
        <f t="shared" si="10"/>
        <v>0</v>
      </c>
      <c r="AF51" s="80">
        <f t="shared" si="10"/>
        <v>0</v>
      </c>
    </row>
    <row r="52" spans="1:32" s="107" customFormat="1" ht="12.75">
      <c r="A52" s="62"/>
      <c r="B52" s="63" t="s">
        <v>345</v>
      </c>
      <c r="C52" s="80" t="e">
        <f>(C47+C49+C48)*C35</f>
        <v>#DIV/0!</v>
      </c>
      <c r="D52" s="80">
        <v>0</v>
      </c>
      <c r="E52" s="80">
        <v>0</v>
      </c>
      <c r="F52" s="80">
        <v>0</v>
      </c>
      <c r="G52" s="80">
        <v>0</v>
      </c>
      <c r="H52" s="80">
        <v>0</v>
      </c>
      <c r="I52" s="80">
        <v>0</v>
      </c>
      <c r="J52" s="80">
        <v>0</v>
      </c>
      <c r="K52" s="80">
        <v>0</v>
      </c>
      <c r="L52" s="80">
        <v>0</v>
      </c>
      <c r="M52" s="80" t="e">
        <f>C52</f>
        <v>#DIV/0!</v>
      </c>
      <c r="N52" s="80">
        <v>0</v>
      </c>
      <c r="O52" s="80">
        <v>0</v>
      </c>
      <c r="P52" s="80">
        <v>0</v>
      </c>
      <c r="Q52" s="80">
        <f>M34</f>
        <v>50</v>
      </c>
      <c r="R52" s="80">
        <v>0</v>
      </c>
      <c r="S52" s="80">
        <v>0</v>
      </c>
      <c r="T52" s="80">
        <v>0</v>
      </c>
      <c r="U52" s="80">
        <v>0</v>
      </c>
      <c r="V52" s="80">
        <v>0</v>
      </c>
      <c r="W52" s="80" t="e">
        <f>M52</f>
        <v>#DIV/0!</v>
      </c>
      <c r="X52" s="80">
        <v>0</v>
      </c>
      <c r="Y52" s="80">
        <v>0</v>
      </c>
      <c r="Z52" s="80">
        <v>0</v>
      </c>
      <c r="AA52" s="80">
        <v>0</v>
      </c>
      <c r="AB52" s="80">
        <v>0</v>
      </c>
      <c r="AC52" s="80">
        <v>0</v>
      </c>
      <c r="AD52" s="80">
        <v>0</v>
      </c>
      <c r="AE52" s="80">
        <v>0</v>
      </c>
      <c r="AF52" s="80">
        <v>0</v>
      </c>
    </row>
    <row r="53" spans="1:33" s="73" customFormat="1" ht="12.75">
      <c r="A53" s="71"/>
      <c r="B53" s="70" t="s">
        <v>346</v>
      </c>
      <c r="C53" s="72" t="e">
        <f>C52+C51</f>
        <v>#DIV/0!</v>
      </c>
      <c r="D53" s="72">
        <f aca="true" t="shared" si="11" ref="D53:AF53">D52+D51</f>
        <v>0</v>
      </c>
      <c r="E53" s="72">
        <f t="shared" si="11"/>
        <v>0</v>
      </c>
      <c r="F53" s="72">
        <f t="shared" si="11"/>
        <v>0</v>
      </c>
      <c r="G53" s="72">
        <f t="shared" si="11"/>
        <v>0</v>
      </c>
      <c r="H53" s="72">
        <f t="shared" si="11"/>
        <v>0</v>
      </c>
      <c r="I53" s="72">
        <f t="shared" si="11"/>
        <v>0</v>
      </c>
      <c r="J53" s="72">
        <f t="shared" si="11"/>
        <v>0</v>
      </c>
      <c r="K53" s="72">
        <f t="shared" si="11"/>
        <v>0</v>
      </c>
      <c r="L53" s="72">
        <f t="shared" si="11"/>
        <v>0</v>
      </c>
      <c r="M53" s="72" t="e">
        <f t="shared" si="11"/>
        <v>#DIV/0!</v>
      </c>
      <c r="N53" s="72">
        <f t="shared" si="11"/>
        <v>0</v>
      </c>
      <c r="O53" s="72">
        <f t="shared" si="11"/>
        <v>0</v>
      </c>
      <c r="P53" s="72">
        <f t="shared" si="11"/>
        <v>0</v>
      </c>
      <c r="Q53" s="72">
        <f t="shared" si="11"/>
        <v>50</v>
      </c>
      <c r="R53" s="72">
        <f t="shared" si="11"/>
        <v>0</v>
      </c>
      <c r="S53" s="72">
        <f t="shared" si="11"/>
        <v>0</v>
      </c>
      <c r="T53" s="72">
        <f t="shared" si="11"/>
        <v>0</v>
      </c>
      <c r="U53" s="72">
        <f t="shared" si="11"/>
        <v>0</v>
      </c>
      <c r="V53" s="72">
        <f t="shared" si="11"/>
        <v>0</v>
      </c>
      <c r="W53" s="72" t="e">
        <f t="shared" si="11"/>
        <v>#DIV/0!</v>
      </c>
      <c r="X53" s="72">
        <f t="shared" si="11"/>
        <v>0</v>
      </c>
      <c r="Y53" s="72">
        <f t="shared" si="11"/>
        <v>0</v>
      </c>
      <c r="Z53" s="72">
        <f t="shared" si="11"/>
        <v>0</v>
      </c>
      <c r="AA53" s="72">
        <f t="shared" si="11"/>
        <v>0</v>
      </c>
      <c r="AB53" s="72">
        <f t="shared" si="11"/>
        <v>0</v>
      </c>
      <c r="AC53" s="72">
        <f t="shared" si="11"/>
        <v>0</v>
      </c>
      <c r="AD53" s="72">
        <f t="shared" si="11"/>
        <v>0</v>
      </c>
      <c r="AE53" s="72">
        <f t="shared" si="11"/>
        <v>0</v>
      </c>
      <c r="AF53" s="72">
        <f t="shared" si="11"/>
        <v>0</v>
      </c>
      <c r="AG53" s="107"/>
    </row>
    <row r="54" ht="12.75"/>
    <row r="55" spans="1:32" ht="18">
      <c r="A55" s="287"/>
      <c r="B55" s="99" t="s">
        <v>359</v>
      </c>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row>
    <row r="56" spans="1:32" ht="12.75">
      <c r="A56" s="288"/>
      <c r="B56" s="87" t="s">
        <v>373</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row>
    <row r="57" spans="1:6" s="290" customFormat="1" ht="51">
      <c r="A57" s="39"/>
      <c r="B57" s="289" t="s">
        <v>256</v>
      </c>
      <c r="C57" s="289" t="s">
        <v>255</v>
      </c>
      <c r="D57" s="289" t="s">
        <v>257</v>
      </c>
      <c r="E57" s="88" t="s">
        <v>274</v>
      </c>
      <c r="F57" s="88" t="s">
        <v>317</v>
      </c>
    </row>
    <row r="58" spans="1:9" s="290" customFormat="1" ht="12.75">
      <c r="A58" s="39"/>
      <c r="B58" s="212" t="str">
        <f>Controller!C43</f>
        <v>General office, public waiting or circulation areas</v>
      </c>
      <c r="C58" s="212">
        <f>Controller!D43</f>
        <v>0</v>
      </c>
      <c r="D58" s="291">
        <f>Controller!E43</f>
        <v>0</v>
      </c>
      <c r="E58" s="292" t="e">
        <f>D58*VLOOKUP(B58,'Non-dom Benchmarks'!$C$6:$J$34,8,FALSE)</f>
        <v>#N/A</v>
      </c>
      <c r="F58" s="292">
        <f>D58*VLOOKUP(B58,'Non-dom Benchmarks'!$C$6:$T$34,18,0)</f>
        <v>0</v>
      </c>
      <c r="I58" s="293"/>
    </row>
    <row r="59" spans="1:6" s="290" customFormat="1" ht="12.75">
      <c r="A59" s="39"/>
      <c r="B59" s="212" t="str">
        <f>Controller!C44</f>
        <v>High street agency</v>
      </c>
      <c r="C59" s="212">
        <f>Controller!D44</f>
        <v>0</v>
      </c>
      <c r="D59" s="291">
        <f>Controller!E44</f>
        <v>0</v>
      </c>
      <c r="E59" s="292" t="e">
        <f>D59*VLOOKUP(B59,'Non-dom Benchmarks'!$C$6:$J$34,8,FALSE)</f>
        <v>#N/A</v>
      </c>
      <c r="F59" s="292">
        <f>D59*VLOOKUP(B59,'Non-dom Benchmarks'!$C$6:$T$34,18,0)</f>
        <v>0</v>
      </c>
    </row>
    <row r="60" spans="1:6" s="290" customFormat="1" ht="12.75">
      <c r="A60" s="39"/>
      <c r="B60" s="212" t="str">
        <f>Controller!C45</f>
        <v>General retail</v>
      </c>
      <c r="C60" s="212">
        <f>Controller!D45</f>
        <v>0</v>
      </c>
      <c r="D60" s="291">
        <f>Controller!E45</f>
        <v>0</v>
      </c>
      <c r="E60" s="292" t="e">
        <f>D60*VLOOKUP(B60,'Non-dom Benchmarks'!$C$6:$J$34,8,FALSE)</f>
        <v>#N/A</v>
      </c>
      <c r="F60" s="292">
        <f>D60*VLOOKUP(B60,'Non-dom Benchmarks'!$C$6:$T$34,18,0)</f>
        <v>0</v>
      </c>
    </row>
    <row r="61" spans="1:6" s="290" customFormat="1" ht="12.75">
      <c r="A61" s="39"/>
      <c r="B61" s="212" t="str">
        <f>Controller!C46</f>
        <v>Large non-food shop</v>
      </c>
      <c r="C61" s="212">
        <f>Controller!D46</f>
        <v>0</v>
      </c>
      <c r="D61" s="291">
        <f>Controller!E46</f>
        <v>0</v>
      </c>
      <c r="E61" s="292" t="e">
        <f>D61*VLOOKUP(B61,'Non-dom Benchmarks'!$C$6:$J$34,8,FALSE)</f>
        <v>#N/A</v>
      </c>
      <c r="F61" s="292">
        <f>D61*VLOOKUP(B61,'Non-dom Benchmarks'!$C$6:$T$34,18,0)</f>
        <v>0</v>
      </c>
    </row>
    <row r="62" spans="1:6" s="290" customFormat="1" ht="12.75">
      <c r="A62" s="39"/>
      <c r="B62" s="212" t="str">
        <f>Controller!C47</f>
        <v>Small food store</v>
      </c>
      <c r="C62" s="212">
        <f>Controller!D47</f>
        <v>0</v>
      </c>
      <c r="D62" s="291">
        <f>Controller!E47</f>
        <v>0</v>
      </c>
      <c r="E62" s="292" t="e">
        <f>D62*VLOOKUP(B62,'Non-dom Benchmarks'!$C$6:$J$34,8,FALSE)</f>
        <v>#N/A</v>
      </c>
      <c r="F62" s="292">
        <f>D62*VLOOKUP(B62,'Non-dom Benchmarks'!$C$6:$T$34,18,0)</f>
        <v>0</v>
      </c>
    </row>
    <row r="63" spans="1:6" s="290" customFormat="1" ht="12.75">
      <c r="A63" s="39"/>
      <c r="B63" s="212" t="str">
        <f>Controller!C48</f>
        <v>Large food store and Public buildings with light usage</v>
      </c>
      <c r="C63" s="212">
        <f>Controller!D48</f>
        <v>0</v>
      </c>
      <c r="D63" s="291">
        <f>Controller!E48</f>
        <v>0</v>
      </c>
      <c r="E63" s="292" t="e">
        <f>D63*VLOOKUP(B63,'Non-dom Benchmarks'!$C$6:$J$34,8,FALSE)</f>
        <v>#N/A</v>
      </c>
      <c r="F63" s="292">
        <f>D63*VLOOKUP(B63,'Non-dom Benchmarks'!$C$6:$T$34,18,0)</f>
        <v>0</v>
      </c>
    </row>
    <row r="64" spans="1:6" s="290" customFormat="1" ht="12.75">
      <c r="A64" s="39"/>
      <c r="B64" s="212" t="str">
        <f>Controller!C49</f>
        <v>Restaurant</v>
      </c>
      <c r="C64" s="212">
        <f>Controller!D49</f>
        <v>0</v>
      </c>
      <c r="D64" s="291">
        <f>Controller!E49</f>
        <v>0</v>
      </c>
      <c r="E64" s="292" t="e">
        <f>D64*VLOOKUP(B64,'Non-dom Benchmarks'!$C$6:$J$34,8,FALSE)</f>
        <v>#N/A</v>
      </c>
      <c r="F64" s="292">
        <f>D64*VLOOKUP(B64,'Non-dom Benchmarks'!$C$6:$T$34,18,0)</f>
        <v>0</v>
      </c>
    </row>
    <row r="65" spans="1:6" s="290" customFormat="1" ht="12.75">
      <c r="A65" s="39"/>
      <c r="B65" s="212" t="str">
        <f>Controller!C50</f>
        <v>Bar, pub or licensed club</v>
      </c>
      <c r="C65" s="212">
        <f>Controller!D50</f>
        <v>0</v>
      </c>
      <c r="D65" s="291">
        <f>Controller!E50</f>
        <v>0</v>
      </c>
      <c r="E65" s="292" t="e">
        <f>D65*VLOOKUP(B65,'Non-dom Benchmarks'!$C$6:$J$34,8,FALSE)</f>
        <v>#N/A</v>
      </c>
      <c r="F65" s="292">
        <f>D65*VLOOKUP(B65,'Non-dom Benchmarks'!$C$6:$T$34,18,0)</f>
        <v>0</v>
      </c>
    </row>
    <row r="66" spans="1:6" s="290" customFormat="1" ht="12.75">
      <c r="A66" s="39"/>
      <c r="B66" s="212" t="str">
        <f>Controller!C51</f>
        <v>Hotel</v>
      </c>
      <c r="C66" s="212">
        <f>Controller!D51</f>
        <v>0</v>
      </c>
      <c r="D66" s="291">
        <f>Controller!E51</f>
        <v>0</v>
      </c>
      <c r="E66" s="292" t="e">
        <f>D66*VLOOKUP(B66,'Non-dom Benchmarks'!$C$6:$J$34,8,FALSE)</f>
        <v>#N/A</v>
      </c>
      <c r="F66" s="292">
        <f>D66*VLOOKUP(B66,'Non-dom Benchmarks'!$C$6:$T$34,18,0)</f>
        <v>0</v>
      </c>
    </row>
    <row r="67" spans="1:6" s="290" customFormat="1" ht="12.75">
      <c r="A67" s="39"/>
      <c r="B67" s="212" t="str">
        <f>Controller!C52</f>
        <v>Cultural activities, Clinics and Terminals</v>
      </c>
      <c r="C67" s="212">
        <f>Controller!D52</f>
        <v>0</v>
      </c>
      <c r="D67" s="291">
        <f>Controller!E52</f>
        <v>0</v>
      </c>
      <c r="E67" s="292" t="e">
        <f>D67*VLOOKUP(B67,'Non-dom Benchmarks'!$C$6:$J$34,8,FALSE)</f>
        <v>#N/A</v>
      </c>
      <c r="F67" s="292">
        <f>D67*VLOOKUP(B67,'Non-dom Benchmarks'!$C$6:$T$34,18,0)</f>
        <v>0</v>
      </c>
    </row>
    <row r="68" spans="1:6" s="290" customFormat="1" ht="12.75">
      <c r="A68" s="39"/>
      <c r="B68" s="212" t="str">
        <f>Controller!C53</f>
        <v>Entertainment halls, Hospital (clinical and research) and Long Term Residential buildings</v>
      </c>
      <c r="C68" s="212">
        <f>Controller!D53</f>
        <v>0</v>
      </c>
      <c r="D68" s="291">
        <f>Controller!E53</f>
        <v>0</v>
      </c>
      <c r="E68" s="292" t="e">
        <f>D68*VLOOKUP(B68,'Non-dom Benchmarks'!$C$6:$J$34,8,FALSE)</f>
        <v>#N/A</v>
      </c>
      <c r="F68" s="292">
        <f>D68*VLOOKUP(B68,'Non-dom Benchmarks'!$C$6:$T$34,18,0)</f>
        <v>0</v>
      </c>
    </row>
    <row r="69" spans="1:6" s="290" customFormat="1" ht="12.75">
      <c r="A69" s="39"/>
      <c r="B69" s="212" t="str">
        <f>Controller!C54</f>
        <v>Swimming pool centre</v>
      </c>
      <c r="C69" s="212">
        <f>Controller!D54</f>
        <v>0</v>
      </c>
      <c r="D69" s="291">
        <f>Controller!E54</f>
        <v>0</v>
      </c>
      <c r="E69" s="292" t="e">
        <f>D69*VLOOKUP(B69,'Non-dom Benchmarks'!$C$6:$J$34,8,FALSE)</f>
        <v>#N/A</v>
      </c>
      <c r="F69" s="292">
        <f>D69*VLOOKUP(B69,'Non-dom Benchmarks'!$C$6:$T$34,18,0)</f>
        <v>0</v>
      </c>
    </row>
    <row r="70" spans="1:6" s="290" customFormat="1" ht="12.75">
      <c r="A70" s="39"/>
      <c r="B70" s="212" t="str">
        <f>Controller!C55</f>
        <v>Fitness and health centre</v>
      </c>
      <c r="C70" s="212">
        <f>Controller!D55</f>
        <v>0</v>
      </c>
      <c r="D70" s="291">
        <f>Controller!E55</f>
        <v>0</v>
      </c>
      <c r="E70" s="292" t="e">
        <f>D70*VLOOKUP(B70,'Non-dom Benchmarks'!$C$6:$J$34,8,FALSE)</f>
        <v>#N/A</v>
      </c>
      <c r="F70" s="292">
        <f>D70*VLOOKUP(B70,'Non-dom Benchmarks'!$C$6:$T$34,18,0)</f>
        <v>0</v>
      </c>
    </row>
    <row r="71" spans="1:6" s="290" customFormat="1" ht="12.75">
      <c r="A71" s="39"/>
      <c r="B71" s="212" t="str">
        <f>Controller!C56</f>
        <v>Dry sports and leisure facility</v>
      </c>
      <c r="C71" s="212">
        <f>Controller!D56</f>
        <v>0</v>
      </c>
      <c r="D71" s="291">
        <f>Controller!E56</f>
        <v>0</v>
      </c>
      <c r="E71" s="292" t="e">
        <f>D71*VLOOKUP(B71,'Non-dom Benchmarks'!$C$6:$J$34,8,FALSE)</f>
        <v>#N/A</v>
      </c>
      <c r="F71" s="292">
        <f>D71*VLOOKUP(B71,'Non-dom Benchmarks'!$C$6:$T$34,18,0)</f>
        <v>0</v>
      </c>
    </row>
    <row r="72" spans="1:6" s="290" customFormat="1" ht="12.75">
      <c r="A72" s="39"/>
      <c r="B72" s="212" t="str">
        <f>Controller!C57</f>
        <v>Schools and seasonal public buildings</v>
      </c>
      <c r="C72" s="212">
        <f>Controller!D57</f>
        <v>0</v>
      </c>
      <c r="D72" s="291">
        <f>Controller!E57</f>
        <v>0</v>
      </c>
      <c r="E72" s="292" t="e">
        <f>D72*VLOOKUP(B72,'Non-dom Benchmarks'!$C$6:$J$34,8,FALSE)</f>
        <v>#N/A</v>
      </c>
      <c r="F72" s="292">
        <f>D72*VLOOKUP(B72,'Non-dom Benchmarks'!$C$6:$T$34,18,0)</f>
        <v>0</v>
      </c>
    </row>
    <row r="73" spans="1:6" s="290" customFormat="1" ht="12.75">
      <c r="A73" s="39"/>
      <c r="B73" s="212" t="str">
        <f>Controller!C58</f>
        <v>University campus</v>
      </c>
      <c r="C73" s="212">
        <f>Controller!D58</f>
        <v>0</v>
      </c>
      <c r="D73" s="291">
        <f>Controller!E58</f>
        <v>0</v>
      </c>
      <c r="E73" s="292" t="e">
        <f>D73*VLOOKUP(B73,'Non-dom Benchmarks'!$C$6:$J$34,8,FALSE)</f>
        <v>#N/A</v>
      </c>
      <c r="F73" s="292">
        <f>D73*VLOOKUP(B73,'Non-dom Benchmarks'!$C$6:$T$34,18,0)</f>
        <v>0</v>
      </c>
    </row>
    <row r="74" spans="1:6" s="290" customFormat="1" ht="12.75">
      <c r="A74" s="39"/>
      <c r="B74" s="212" t="str">
        <f>Controller!C59</f>
        <v>General accommodation</v>
      </c>
      <c r="C74" s="212">
        <f>Controller!D59</f>
        <v>0</v>
      </c>
      <c r="D74" s="291">
        <f>Controller!E59</f>
        <v>0</v>
      </c>
      <c r="E74" s="292" t="e">
        <f>D74*VLOOKUP(B74,'Non-dom Benchmarks'!$C$6:$J$34,8,FALSE)</f>
        <v>#N/A</v>
      </c>
      <c r="F74" s="292">
        <f>D74*VLOOKUP(B74,'Non-dom Benchmarks'!$C$6:$T$34,18,0)</f>
        <v>0</v>
      </c>
    </row>
    <row r="75" spans="1:6" s="290" customFormat="1" ht="12.75">
      <c r="A75" s="39"/>
      <c r="B75" s="212" t="str">
        <f>Controller!C60</f>
        <v>Emergency services</v>
      </c>
      <c r="C75" s="212">
        <f>Controller!D60</f>
        <v>0</v>
      </c>
      <c r="D75" s="291">
        <f>Controller!E60</f>
        <v>0</v>
      </c>
      <c r="E75" s="292" t="e">
        <f>D75*VLOOKUP(B75,'Non-dom Benchmarks'!$C$6:$J$34,8,FALSE)</f>
        <v>#N/A</v>
      </c>
      <c r="F75" s="292">
        <f>D75*VLOOKUP(B75,'Non-dom Benchmarks'!$C$6:$T$34,18,0)</f>
        <v>0</v>
      </c>
    </row>
    <row r="76" spans="1:6" s="290" customFormat="1" ht="12.75">
      <c r="A76" s="39"/>
      <c r="B76" s="212" t="str">
        <f>Controller!C61</f>
        <v>Laboratory or operating theatre</v>
      </c>
      <c r="C76" s="212">
        <f>Controller!D61</f>
        <v>0</v>
      </c>
      <c r="D76" s="291">
        <f>Controller!E61</f>
        <v>0</v>
      </c>
      <c r="E76" s="292" t="e">
        <f>D76*VLOOKUP(B76,'Non-dom Benchmarks'!$C$6:$J$34,8,FALSE)</f>
        <v>#N/A</v>
      </c>
      <c r="F76" s="292">
        <f>D76*VLOOKUP(B76,'Non-dom Benchmarks'!$C$6:$T$34,18,0)</f>
        <v>0</v>
      </c>
    </row>
    <row r="77" spans="1:6" s="290" customFormat="1" ht="12.75">
      <c r="A77" s="39"/>
      <c r="B77" s="212" t="str">
        <f>Controller!C62</f>
        <v>Workshop</v>
      </c>
      <c r="C77" s="212">
        <f>Controller!D62</f>
        <v>0</v>
      </c>
      <c r="D77" s="291">
        <f>Controller!E62</f>
        <v>0</v>
      </c>
      <c r="E77" s="292" t="e">
        <f>D77*VLOOKUP(B77,'Non-dom Benchmarks'!$C$6:$J$34,8,FALSE)</f>
        <v>#N/A</v>
      </c>
      <c r="F77" s="292">
        <f>D77*VLOOKUP(B77,'Non-dom Benchmarks'!$C$6:$T$34,18,0)</f>
        <v>0</v>
      </c>
    </row>
    <row r="78" spans="1:6" s="290" customFormat="1" ht="12.75">
      <c r="A78" s="39"/>
      <c r="B78" s="212" t="str">
        <f>Controller!C63</f>
        <v>Storage facility</v>
      </c>
      <c r="C78" s="212">
        <f>Controller!D63</f>
        <v>0</v>
      </c>
      <c r="D78" s="291">
        <f>Controller!E63</f>
        <v>0</v>
      </c>
      <c r="E78" s="292" t="e">
        <f>D78*VLOOKUP(B78,'Non-dom Benchmarks'!$C$6:$J$34,8,FALSE)</f>
        <v>#N/A</v>
      </c>
      <c r="F78" s="292">
        <f>D78*VLOOKUP(B78,'Non-dom Benchmarks'!$C$6:$T$34,18,0)</f>
        <v>0</v>
      </c>
    </row>
    <row r="79" spans="1:6" s="290" customFormat="1" ht="12.75">
      <c r="A79" s="39"/>
      <c r="B79" s="212" t="str">
        <f>Controller!C64</f>
        <v>Cold storage</v>
      </c>
      <c r="C79" s="212">
        <f>Controller!D64</f>
        <v>0</v>
      </c>
      <c r="D79" s="291">
        <f>Controller!E64</f>
        <v>0</v>
      </c>
      <c r="E79" s="292" t="e">
        <f>D79*VLOOKUP(B79,'Non-dom Benchmarks'!$C$6:$J$34,8,FALSE)</f>
        <v>#N/A</v>
      </c>
      <c r="F79" s="292">
        <f>D79*VLOOKUP(B79,'Non-dom Benchmarks'!$C$6:$T$34,18,0)</f>
        <v>0</v>
      </c>
    </row>
    <row r="80" spans="1:4" s="290" customFormat="1" ht="12.75">
      <c r="A80" s="39"/>
      <c r="B80" s="39"/>
      <c r="C80" s="39"/>
      <c r="D80" s="39"/>
    </row>
    <row r="81" spans="1:32" s="107" customFormat="1" ht="24">
      <c r="A81" s="62"/>
      <c r="B81" s="89" t="s">
        <v>326</v>
      </c>
      <c r="C81" s="90" t="e">
        <f>C83*(1-C82)</f>
        <v>#N/A</v>
      </c>
      <c r="D81" s="90" t="e">
        <f>D83*(1-D82)</f>
        <v>#N/A</v>
      </c>
      <c r="E81" s="90" t="e">
        <f>SUM(E58:E79)</f>
        <v>#N/A</v>
      </c>
      <c r="F81" s="90" t="e">
        <f aca="true" t="shared" si="12" ref="F81:AF81">E81</f>
        <v>#N/A</v>
      </c>
      <c r="G81" s="90" t="e">
        <f t="shared" si="12"/>
        <v>#N/A</v>
      </c>
      <c r="H81" s="90" t="e">
        <f t="shared" si="12"/>
        <v>#N/A</v>
      </c>
      <c r="I81" s="90" t="e">
        <f t="shared" si="12"/>
        <v>#N/A</v>
      </c>
      <c r="J81" s="90" t="e">
        <f t="shared" si="12"/>
        <v>#N/A</v>
      </c>
      <c r="K81" s="90" t="e">
        <f t="shared" si="12"/>
        <v>#N/A</v>
      </c>
      <c r="L81" s="90" t="e">
        <f t="shared" si="12"/>
        <v>#N/A</v>
      </c>
      <c r="M81" s="90" t="e">
        <f t="shared" si="12"/>
        <v>#N/A</v>
      </c>
      <c r="N81" s="90" t="e">
        <f t="shared" si="12"/>
        <v>#N/A</v>
      </c>
      <c r="O81" s="90" t="e">
        <f t="shared" si="12"/>
        <v>#N/A</v>
      </c>
      <c r="P81" s="90" t="e">
        <f t="shared" si="12"/>
        <v>#N/A</v>
      </c>
      <c r="Q81" s="90" t="e">
        <f t="shared" si="12"/>
        <v>#N/A</v>
      </c>
      <c r="R81" s="90" t="e">
        <f t="shared" si="12"/>
        <v>#N/A</v>
      </c>
      <c r="S81" s="90" t="e">
        <f t="shared" si="12"/>
        <v>#N/A</v>
      </c>
      <c r="T81" s="90" t="e">
        <f t="shared" si="12"/>
        <v>#N/A</v>
      </c>
      <c r="U81" s="90" t="e">
        <f t="shared" si="12"/>
        <v>#N/A</v>
      </c>
      <c r="V81" s="90" t="e">
        <f t="shared" si="12"/>
        <v>#N/A</v>
      </c>
      <c r="W81" s="90" t="e">
        <f t="shared" si="12"/>
        <v>#N/A</v>
      </c>
      <c r="X81" s="90" t="e">
        <f t="shared" si="12"/>
        <v>#N/A</v>
      </c>
      <c r="Y81" s="90" t="e">
        <f t="shared" si="12"/>
        <v>#N/A</v>
      </c>
      <c r="Z81" s="90" t="e">
        <f t="shared" si="12"/>
        <v>#N/A</v>
      </c>
      <c r="AA81" s="90" t="e">
        <f t="shared" si="12"/>
        <v>#N/A</v>
      </c>
      <c r="AB81" s="90" t="e">
        <f t="shared" si="12"/>
        <v>#N/A</v>
      </c>
      <c r="AC81" s="90" t="e">
        <f t="shared" si="12"/>
        <v>#N/A</v>
      </c>
      <c r="AD81" s="90" t="e">
        <f t="shared" si="12"/>
        <v>#N/A</v>
      </c>
      <c r="AE81" s="90" t="e">
        <f t="shared" si="12"/>
        <v>#N/A</v>
      </c>
      <c r="AF81" s="90" t="e">
        <f t="shared" si="12"/>
        <v>#N/A</v>
      </c>
    </row>
    <row r="82" spans="1:32" s="107" customFormat="1" ht="12.75">
      <c r="A82" s="62"/>
      <c r="B82" s="89" t="s">
        <v>46</v>
      </c>
      <c r="C82" s="91">
        <f>D82/2</f>
        <v>0.05</v>
      </c>
      <c r="D82" s="91">
        <f>Assumptions!D5</f>
        <v>0.1</v>
      </c>
      <c r="E82" s="91">
        <f>D82</f>
        <v>0.1</v>
      </c>
      <c r="F82" s="91">
        <f aca="true" t="shared" si="13" ref="F82:AF82">E82</f>
        <v>0.1</v>
      </c>
      <c r="G82" s="91">
        <f t="shared" si="13"/>
        <v>0.1</v>
      </c>
      <c r="H82" s="91">
        <f t="shared" si="13"/>
        <v>0.1</v>
      </c>
      <c r="I82" s="91">
        <f t="shared" si="13"/>
        <v>0.1</v>
      </c>
      <c r="J82" s="91">
        <f t="shared" si="13"/>
        <v>0.1</v>
      </c>
      <c r="K82" s="91">
        <f t="shared" si="13"/>
        <v>0.1</v>
      </c>
      <c r="L82" s="91">
        <f t="shared" si="13"/>
        <v>0.1</v>
      </c>
      <c r="M82" s="91">
        <f t="shared" si="13"/>
        <v>0.1</v>
      </c>
      <c r="N82" s="91">
        <f t="shared" si="13"/>
        <v>0.1</v>
      </c>
      <c r="O82" s="91">
        <f t="shared" si="13"/>
        <v>0.1</v>
      </c>
      <c r="P82" s="91">
        <f t="shared" si="13"/>
        <v>0.1</v>
      </c>
      <c r="Q82" s="91">
        <f t="shared" si="13"/>
        <v>0.1</v>
      </c>
      <c r="R82" s="91">
        <f t="shared" si="13"/>
        <v>0.1</v>
      </c>
      <c r="S82" s="91">
        <f t="shared" si="13"/>
        <v>0.1</v>
      </c>
      <c r="T82" s="91">
        <f t="shared" si="13"/>
        <v>0.1</v>
      </c>
      <c r="U82" s="91">
        <f t="shared" si="13"/>
        <v>0.1</v>
      </c>
      <c r="V82" s="91">
        <f t="shared" si="13"/>
        <v>0.1</v>
      </c>
      <c r="W82" s="91">
        <f t="shared" si="13"/>
        <v>0.1</v>
      </c>
      <c r="X82" s="91">
        <f t="shared" si="13"/>
        <v>0.1</v>
      </c>
      <c r="Y82" s="91">
        <f t="shared" si="13"/>
        <v>0.1</v>
      </c>
      <c r="Z82" s="91">
        <f t="shared" si="13"/>
        <v>0.1</v>
      </c>
      <c r="AA82" s="91">
        <f t="shared" si="13"/>
        <v>0.1</v>
      </c>
      <c r="AB82" s="91">
        <f t="shared" si="13"/>
        <v>0.1</v>
      </c>
      <c r="AC82" s="91">
        <f t="shared" si="13"/>
        <v>0.1</v>
      </c>
      <c r="AD82" s="91">
        <f t="shared" si="13"/>
        <v>0.1</v>
      </c>
      <c r="AE82" s="91">
        <f t="shared" si="13"/>
        <v>0.1</v>
      </c>
      <c r="AF82" s="91">
        <f t="shared" si="13"/>
        <v>0.1</v>
      </c>
    </row>
    <row r="83" spans="1:32" s="107" customFormat="1" ht="24">
      <c r="A83" s="62"/>
      <c r="B83" s="89" t="s">
        <v>328</v>
      </c>
      <c r="C83" s="90" t="e">
        <f>D83</f>
        <v>#N/A</v>
      </c>
      <c r="D83" s="90" t="e">
        <f>E83</f>
        <v>#N/A</v>
      </c>
      <c r="E83" s="90" t="e">
        <f aca="true" t="shared" si="14" ref="E83:AF83">E81/(1-E82)</f>
        <v>#N/A</v>
      </c>
      <c r="F83" s="90" t="e">
        <f t="shared" si="14"/>
        <v>#N/A</v>
      </c>
      <c r="G83" s="90" t="e">
        <f t="shared" si="14"/>
        <v>#N/A</v>
      </c>
      <c r="H83" s="90" t="e">
        <f t="shared" si="14"/>
        <v>#N/A</v>
      </c>
      <c r="I83" s="90" t="e">
        <f t="shared" si="14"/>
        <v>#N/A</v>
      </c>
      <c r="J83" s="90" t="e">
        <f t="shared" si="14"/>
        <v>#N/A</v>
      </c>
      <c r="K83" s="90" t="e">
        <f t="shared" si="14"/>
        <v>#N/A</v>
      </c>
      <c r="L83" s="90" t="e">
        <f t="shared" si="14"/>
        <v>#N/A</v>
      </c>
      <c r="M83" s="90" t="e">
        <f t="shared" si="14"/>
        <v>#N/A</v>
      </c>
      <c r="N83" s="90" t="e">
        <f t="shared" si="14"/>
        <v>#N/A</v>
      </c>
      <c r="O83" s="90" t="e">
        <f t="shared" si="14"/>
        <v>#N/A</v>
      </c>
      <c r="P83" s="90" t="e">
        <f t="shared" si="14"/>
        <v>#N/A</v>
      </c>
      <c r="Q83" s="90" t="e">
        <f t="shared" si="14"/>
        <v>#N/A</v>
      </c>
      <c r="R83" s="90" t="e">
        <f t="shared" si="14"/>
        <v>#N/A</v>
      </c>
      <c r="S83" s="90" t="e">
        <f t="shared" si="14"/>
        <v>#N/A</v>
      </c>
      <c r="T83" s="90" t="e">
        <f t="shared" si="14"/>
        <v>#N/A</v>
      </c>
      <c r="U83" s="90" t="e">
        <f t="shared" si="14"/>
        <v>#N/A</v>
      </c>
      <c r="V83" s="90" t="e">
        <f t="shared" si="14"/>
        <v>#N/A</v>
      </c>
      <c r="W83" s="90" t="e">
        <f t="shared" si="14"/>
        <v>#N/A</v>
      </c>
      <c r="X83" s="90" t="e">
        <f t="shared" si="14"/>
        <v>#N/A</v>
      </c>
      <c r="Y83" s="90" t="e">
        <f t="shared" si="14"/>
        <v>#N/A</v>
      </c>
      <c r="Z83" s="90" t="e">
        <f t="shared" si="14"/>
        <v>#N/A</v>
      </c>
      <c r="AA83" s="90" t="e">
        <f t="shared" si="14"/>
        <v>#N/A</v>
      </c>
      <c r="AB83" s="90" t="e">
        <f t="shared" si="14"/>
        <v>#N/A</v>
      </c>
      <c r="AC83" s="90" t="e">
        <f t="shared" si="14"/>
        <v>#N/A</v>
      </c>
      <c r="AD83" s="90" t="e">
        <f t="shared" si="14"/>
        <v>#N/A</v>
      </c>
      <c r="AE83" s="90" t="e">
        <f t="shared" si="14"/>
        <v>#N/A</v>
      </c>
      <c r="AF83" s="90" t="e">
        <f t="shared" si="14"/>
        <v>#N/A</v>
      </c>
    </row>
    <row r="84" spans="2:32" ht="24">
      <c r="B84" s="89" t="s">
        <v>262</v>
      </c>
      <c r="C84" s="91">
        <f>(1/Assumptions!$D$7)*(1/Assumptions!$D$9)</f>
        <v>1.3071895424836601</v>
      </c>
      <c r="D84" s="91">
        <f aca="true" t="shared" si="15" ref="D84:AF84">C84</f>
        <v>1.3071895424836601</v>
      </c>
      <c r="E84" s="91">
        <f t="shared" si="15"/>
        <v>1.3071895424836601</v>
      </c>
      <c r="F84" s="91">
        <f t="shared" si="15"/>
        <v>1.3071895424836601</v>
      </c>
      <c r="G84" s="91">
        <f t="shared" si="15"/>
        <v>1.3071895424836601</v>
      </c>
      <c r="H84" s="91">
        <f t="shared" si="15"/>
        <v>1.3071895424836601</v>
      </c>
      <c r="I84" s="91">
        <f t="shared" si="15"/>
        <v>1.3071895424836601</v>
      </c>
      <c r="J84" s="91">
        <f t="shared" si="15"/>
        <v>1.3071895424836601</v>
      </c>
      <c r="K84" s="91">
        <f t="shared" si="15"/>
        <v>1.3071895424836601</v>
      </c>
      <c r="L84" s="91">
        <f t="shared" si="15"/>
        <v>1.3071895424836601</v>
      </c>
      <c r="M84" s="91">
        <f t="shared" si="15"/>
        <v>1.3071895424836601</v>
      </c>
      <c r="N84" s="91">
        <f t="shared" si="15"/>
        <v>1.3071895424836601</v>
      </c>
      <c r="O84" s="91">
        <f t="shared" si="15"/>
        <v>1.3071895424836601</v>
      </c>
      <c r="P84" s="91">
        <f t="shared" si="15"/>
        <v>1.3071895424836601</v>
      </c>
      <c r="Q84" s="91">
        <f t="shared" si="15"/>
        <v>1.3071895424836601</v>
      </c>
      <c r="R84" s="91">
        <f t="shared" si="15"/>
        <v>1.3071895424836601</v>
      </c>
      <c r="S84" s="91">
        <f t="shared" si="15"/>
        <v>1.3071895424836601</v>
      </c>
      <c r="T84" s="91">
        <f t="shared" si="15"/>
        <v>1.3071895424836601</v>
      </c>
      <c r="U84" s="91">
        <f t="shared" si="15"/>
        <v>1.3071895424836601</v>
      </c>
      <c r="V84" s="91">
        <f t="shared" si="15"/>
        <v>1.3071895424836601</v>
      </c>
      <c r="W84" s="91">
        <f t="shared" si="15"/>
        <v>1.3071895424836601</v>
      </c>
      <c r="X84" s="91">
        <f t="shared" si="15"/>
        <v>1.3071895424836601</v>
      </c>
      <c r="Y84" s="91">
        <f t="shared" si="15"/>
        <v>1.3071895424836601</v>
      </c>
      <c r="Z84" s="91">
        <f t="shared" si="15"/>
        <v>1.3071895424836601</v>
      </c>
      <c r="AA84" s="91">
        <f t="shared" si="15"/>
        <v>1.3071895424836601</v>
      </c>
      <c r="AB84" s="91">
        <f t="shared" si="15"/>
        <v>1.3071895424836601</v>
      </c>
      <c r="AC84" s="91">
        <f t="shared" si="15"/>
        <v>1.3071895424836601</v>
      </c>
      <c r="AD84" s="91">
        <f t="shared" si="15"/>
        <v>1.3071895424836601</v>
      </c>
      <c r="AE84" s="91">
        <f t="shared" si="15"/>
        <v>1.3071895424836601</v>
      </c>
      <c r="AF84" s="91">
        <f t="shared" si="15"/>
        <v>1.3071895424836601</v>
      </c>
    </row>
    <row r="85" spans="1:32" s="107" customFormat="1" ht="12.75">
      <c r="A85" s="62"/>
      <c r="B85" s="89" t="s">
        <v>374</v>
      </c>
      <c r="C85" s="90" t="e">
        <f>(C83-C81)*C84</f>
        <v>#N/A</v>
      </c>
      <c r="D85" s="90" t="e">
        <f aca="true" t="shared" si="16" ref="D85:AF85">(D83-D81)*D84</f>
        <v>#N/A</v>
      </c>
      <c r="E85" s="90" t="e">
        <f t="shared" si="16"/>
        <v>#N/A</v>
      </c>
      <c r="F85" s="90" t="e">
        <f t="shared" si="16"/>
        <v>#N/A</v>
      </c>
      <c r="G85" s="90" t="e">
        <f t="shared" si="16"/>
        <v>#N/A</v>
      </c>
      <c r="H85" s="90" t="e">
        <f t="shared" si="16"/>
        <v>#N/A</v>
      </c>
      <c r="I85" s="90" t="e">
        <f t="shared" si="16"/>
        <v>#N/A</v>
      </c>
      <c r="J85" s="90" t="e">
        <f t="shared" si="16"/>
        <v>#N/A</v>
      </c>
      <c r="K85" s="90" t="e">
        <f t="shared" si="16"/>
        <v>#N/A</v>
      </c>
      <c r="L85" s="90" t="e">
        <f t="shared" si="16"/>
        <v>#N/A</v>
      </c>
      <c r="M85" s="90" t="e">
        <f t="shared" si="16"/>
        <v>#N/A</v>
      </c>
      <c r="N85" s="90" t="e">
        <f t="shared" si="16"/>
        <v>#N/A</v>
      </c>
      <c r="O85" s="90" t="e">
        <f t="shared" si="16"/>
        <v>#N/A</v>
      </c>
      <c r="P85" s="90" t="e">
        <f t="shared" si="16"/>
        <v>#N/A</v>
      </c>
      <c r="Q85" s="90" t="e">
        <f t="shared" si="16"/>
        <v>#N/A</v>
      </c>
      <c r="R85" s="90" t="e">
        <f t="shared" si="16"/>
        <v>#N/A</v>
      </c>
      <c r="S85" s="90" t="e">
        <f t="shared" si="16"/>
        <v>#N/A</v>
      </c>
      <c r="T85" s="90" t="e">
        <f t="shared" si="16"/>
        <v>#N/A</v>
      </c>
      <c r="U85" s="90" t="e">
        <f t="shared" si="16"/>
        <v>#N/A</v>
      </c>
      <c r="V85" s="90" t="e">
        <f t="shared" si="16"/>
        <v>#N/A</v>
      </c>
      <c r="W85" s="90" t="e">
        <f t="shared" si="16"/>
        <v>#N/A</v>
      </c>
      <c r="X85" s="90" t="e">
        <f t="shared" si="16"/>
        <v>#N/A</v>
      </c>
      <c r="Y85" s="90" t="e">
        <f t="shared" si="16"/>
        <v>#N/A</v>
      </c>
      <c r="Z85" s="90" t="e">
        <f t="shared" si="16"/>
        <v>#N/A</v>
      </c>
      <c r="AA85" s="90" t="e">
        <f t="shared" si="16"/>
        <v>#N/A</v>
      </c>
      <c r="AB85" s="90" t="e">
        <f t="shared" si="16"/>
        <v>#N/A</v>
      </c>
      <c r="AC85" s="90" t="e">
        <f t="shared" si="16"/>
        <v>#N/A</v>
      </c>
      <c r="AD85" s="90" t="e">
        <f t="shared" si="16"/>
        <v>#N/A</v>
      </c>
      <c r="AE85" s="90" t="e">
        <f t="shared" si="16"/>
        <v>#N/A</v>
      </c>
      <c r="AF85" s="90" t="e">
        <f t="shared" si="16"/>
        <v>#N/A</v>
      </c>
    </row>
    <row r="86" ht="12.75"/>
    <row r="87" spans="1:32" s="107" customFormat="1" ht="24">
      <c r="A87" s="62"/>
      <c r="B87" s="89" t="s">
        <v>375</v>
      </c>
      <c r="C87" s="90">
        <f>C89*(1-C88)</f>
        <v>0</v>
      </c>
      <c r="D87" s="90">
        <f>D89*(1-D88)</f>
        <v>0</v>
      </c>
      <c r="E87" s="90">
        <f>SUM(F58:F79)</f>
        <v>0</v>
      </c>
      <c r="F87" s="90">
        <f aca="true" t="shared" si="17" ref="F87:AF87">E87</f>
        <v>0</v>
      </c>
      <c r="G87" s="90">
        <f t="shared" si="17"/>
        <v>0</v>
      </c>
      <c r="H87" s="90">
        <f t="shared" si="17"/>
        <v>0</v>
      </c>
      <c r="I87" s="90">
        <f t="shared" si="17"/>
        <v>0</v>
      </c>
      <c r="J87" s="90">
        <f t="shared" si="17"/>
        <v>0</v>
      </c>
      <c r="K87" s="90">
        <f t="shared" si="17"/>
        <v>0</v>
      </c>
      <c r="L87" s="90">
        <f t="shared" si="17"/>
        <v>0</v>
      </c>
      <c r="M87" s="90">
        <f t="shared" si="17"/>
        <v>0</v>
      </c>
      <c r="N87" s="90">
        <f t="shared" si="17"/>
        <v>0</v>
      </c>
      <c r="O87" s="90">
        <f t="shared" si="17"/>
        <v>0</v>
      </c>
      <c r="P87" s="90">
        <f t="shared" si="17"/>
        <v>0</v>
      </c>
      <c r="Q87" s="90">
        <f t="shared" si="17"/>
        <v>0</v>
      </c>
      <c r="R87" s="90">
        <f t="shared" si="17"/>
        <v>0</v>
      </c>
      <c r="S87" s="90">
        <f t="shared" si="17"/>
        <v>0</v>
      </c>
      <c r="T87" s="90">
        <f t="shared" si="17"/>
        <v>0</v>
      </c>
      <c r="U87" s="90">
        <f t="shared" si="17"/>
        <v>0</v>
      </c>
      <c r="V87" s="90">
        <f t="shared" si="17"/>
        <v>0</v>
      </c>
      <c r="W87" s="90">
        <f t="shared" si="17"/>
        <v>0</v>
      </c>
      <c r="X87" s="90">
        <f t="shared" si="17"/>
        <v>0</v>
      </c>
      <c r="Y87" s="90">
        <f t="shared" si="17"/>
        <v>0</v>
      </c>
      <c r="Z87" s="90">
        <f t="shared" si="17"/>
        <v>0</v>
      </c>
      <c r="AA87" s="90">
        <f t="shared" si="17"/>
        <v>0</v>
      </c>
      <c r="AB87" s="90">
        <f t="shared" si="17"/>
        <v>0</v>
      </c>
      <c r="AC87" s="90">
        <f t="shared" si="17"/>
        <v>0</v>
      </c>
      <c r="AD87" s="90">
        <f t="shared" si="17"/>
        <v>0</v>
      </c>
      <c r="AE87" s="90">
        <f t="shared" si="17"/>
        <v>0</v>
      </c>
      <c r="AF87" s="90">
        <f t="shared" si="17"/>
        <v>0</v>
      </c>
    </row>
    <row r="88" spans="1:32" s="107" customFormat="1" ht="12.75">
      <c r="A88" s="62"/>
      <c r="B88" s="89" t="s">
        <v>46</v>
      </c>
      <c r="C88" s="91">
        <f>C82</f>
        <v>0.05</v>
      </c>
      <c r="D88" s="91">
        <f>D82</f>
        <v>0.1</v>
      </c>
      <c r="E88" s="91">
        <f>D88</f>
        <v>0.1</v>
      </c>
      <c r="F88" s="91">
        <f aca="true" t="shared" si="18" ref="F88:AF88">E88</f>
        <v>0.1</v>
      </c>
      <c r="G88" s="91">
        <f t="shared" si="18"/>
        <v>0.1</v>
      </c>
      <c r="H88" s="91">
        <f t="shared" si="18"/>
        <v>0.1</v>
      </c>
      <c r="I88" s="91">
        <f t="shared" si="18"/>
        <v>0.1</v>
      </c>
      <c r="J88" s="91">
        <f t="shared" si="18"/>
        <v>0.1</v>
      </c>
      <c r="K88" s="91">
        <f t="shared" si="18"/>
        <v>0.1</v>
      </c>
      <c r="L88" s="91">
        <f t="shared" si="18"/>
        <v>0.1</v>
      </c>
      <c r="M88" s="91">
        <f t="shared" si="18"/>
        <v>0.1</v>
      </c>
      <c r="N88" s="91">
        <f t="shared" si="18"/>
        <v>0.1</v>
      </c>
      <c r="O88" s="91">
        <f t="shared" si="18"/>
        <v>0.1</v>
      </c>
      <c r="P88" s="91">
        <f t="shared" si="18"/>
        <v>0.1</v>
      </c>
      <c r="Q88" s="91">
        <f t="shared" si="18"/>
        <v>0.1</v>
      </c>
      <c r="R88" s="91">
        <f t="shared" si="18"/>
        <v>0.1</v>
      </c>
      <c r="S88" s="91">
        <f t="shared" si="18"/>
        <v>0.1</v>
      </c>
      <c r="T88" s="91">
        <f t="shared" si="18"/>
        <v>0.1</v>
      </c>
      <c r="U88" s="91">
        <f t="shared" si="18"/>
        <v>0.1</v>
      </c>
      <c r="V88" s="91">
        <f t="shared" si="18"/>
        <v>0.1</v>
      </c>
      <c r="W88" s="91">
        <f t="shared" si="18"/>
        <v>0.1</v>
      </c>
      <c r="X88" s="91">
        <f t="shared" si="18"/>
        <v>0.1</v>
      </c>
      <c r="Y88" s="91">
        <f t="shared" si="18"/>
        <v>0.1</v>
      </c>
      <c r="Z88" s="91">
        <f t="shared" si="18"/>
        <v>0.1</v>
      </c>
      <c r="AA88" s="91">
        <f t="shared" si="18"/>
        <v>0.1</v>
      </c>
      <c r="AB88" s="91">
        <f t="shared" si="18"/>
        <v>0.1</v>
      </c>
      <c r="AC88" s="91">
        <f t="shared" si="18"/>
        <v>0.1</v>
      </c>
      <c r="AD88" s="91">
        <f t="shared" si="18"/>
        <v>0.1</v>
      </c>
      <c r="AE88" s="91">
        <f t="shared" si="18"/>
        <v>0.1</v>
      </c>
      <c r="AF88" s="91">
        <f t="shared" si="18"/>
        <v>0.1</v>
      </c>
    </row>
    <row r="89" spans="1:32" s="107" customFormat="1" ht="24">
      <c r="A89" s="62"/>
      <c r="B89" s="89" t="s">
        <v>376</v>
      </c>
      <c r="C89" s="90">
        <f>D89</f>
        <v>0</v>
      </c>
      <c r="D89" s="90">
        <f>E89</f>
        <v>0</v>
      </c>
      <c r="E89" s="90">
        <f aca="true" t="shared" si="19" ref="E89:AF89">E87/(1-E88)</f>
        <v>0</v>
      </c>
      <c r="F89" s="90">
        <f t="shared" si="19"/>
        <v>0</v>
      </c>
      <c r="G89" s="90">
        <f t="shared" si="19"/>
        <v>0</v>
      </c>
      <c r="H89" s="90">
        <f t="shared" si="19"/>
        <v>0</v>
      </c>
      <c r="I89" s="90">
        <f t="shared" si="19"/>
        <v>0</v>
      </c>
      <c r="J89" s="90">
        <f t="shared" si="19"/>
        <v>0</v>
      </c>
      <c r="K89" s="90">
        <f t="shared" si="19"/>
        <v>0</v>
      </c>
      <c r="L89" s="90">
        <f t="shared" si="19"/>
        <v>0</v>
      </c>
      <c r="M89" s="90">
        <f t="shared" si="19"/>
        <v>0</v>
      </c>
      <c r="N89" s="90">
        <f t="shared" si="19"/>
        <v>0</v>
      </c>
      <c r="O89" s="90">
        <f t="shared" si="19"/>
        <v>0</v>
      </c>
      <c r="P89" s="90">
        <f t="shared" si="19"/>
        <v>0</v>
      </c>
      <c r="Q89" s="90">
        <f t="shared" si="19"/>
        <v>0</v>
      </c>
      <c r="R89" s="90">
        <f t="shared" si="19"/>
        <v>0</v>
      </c>
      <c r="S89" s="90">
        <f t="shared" si="19"/>
        <v>0</v>
      </c>
      <c r="T89" s="90">
        <f t="shared" si="19"/>
        <v>0</v>
      </c>
      <c r="U89" s="90">
        <f t="shared" si="19"/>
        <v>0</v>
      </c>
      <c r="V89" s="90">
        <f t="shared" si="19"/>
        <v>0</v>
      </c>
      <c r="W89" s="90">
        <f t="shared" si="19"/>
        <v>0</v>
      </c>
      <c r="X89" s="90">
        <f t="shared" si="19"/>
        <v>0</v>
      </c>
      <c r="Y89" s="90">
        <f t="shared" si="19"/>
        <v>0</v>
      </c>
      <c r="Z89" s="90">
        <f t="shared" si="19"/>
        <v>0</v>
      </c>
      <c r="AA89" s="90">
        <f t="shared" si="19"/>
        <v>0</v>
      </c>
      <c r="AB89" s="90">
        <f t="shared" si="19"/>
        <v>0</v>
      </c>
      <c r="AC89" s="90">
        <f t="shared" si="19"/>
        <v>0</v>
      </c>
      <c r="AD89" s="90">
        <f t="shared" si="19"/>
        <v>0</v>
      </c>
      <c r="AE89" s="90">
        <f t="shared" si="19"/>
        <v>0</v>
      </c>
      <c r="AF89" s="90">
        <f t="shared" si="19"/>
        <v>0</v>
      </c>
    </row>
    <row r="90" spans="2:32" ht="24">
      <c r="B90" s="89" t="s">
        <v>262</v>
      </c>
      <c r="C90" s="91">
        <f>(1/Assumptions!$D$11)*(1/Assumptions!$D$13)</f>
        <v>1.3071895424836601</v>
      </c>
      <c r="D90" s="91">
        <f aca="true" t="shared" si="20" ref="D90:AF90">C90</f>
        <v>1.3071895424836601</v>
      </c>
      <c r="E90" s="91">
        <f t="shared" si="20"/>
        <v>1.3071895424836601</v>
      </c>
      <c r="F90" s="91">
        <f t="shared" si="20"/>
        <v>1.3071895424836601</v>
      </c>
      <c r="G90" s="91">
        <f t="shared" si="20"/>
        <v>1.3071895424836601</v>
      </c>
      <c r="H90" s="91">
        <f t="shared" si="20"/>
        <v>1.3071895424836601</v>
      </c>
      <c r="I90" s="91">
        <f t="shared" si="20"/>
        <v>1.3071895424836601</v>
      </c>
      <c r="J90" s="91">
        <f t="shared" si="20"/>
        <v>1.3071895424836601</v>
      </c>
      <c r="K90" s="91">
        <f t="shared" si="20"/>
        <v>1.3071895424836601</v>
      </c>
      <c r="L90" s="91">
        <f t="shared" si="20"/>
        <v>1.3071895424836601</v>
      </c>
      <c r="M90" s="91">
        <f t="shared" si="20"/>
        <v>1.3071895424836601</v>
      </c>
      <c r="N90" s="91">
        <f t="shared" si="20"/>
        <v>1.3071895424836601</v>
      </c>
      <c r="O90" s="91">
        <f t="shared" si="20"/>
        <v>1.3071895424836601</v>
      </c>
      <c r="P90" s="91">
        <f t="shared" si="20"/>
        <v>1.3071895424836601</v>
      </c>
      <c r="Q90" s="91">
        <f t="shared" si="20"/>
        <v>1.3071895424836601</v>
      </c>
      <c r="R90" s="91">
        <f t="shared" si="20"/>
        <v>1.3071895424836601</v>
      </c>
      <c r="S90" s="91">
        <f t="shared" si="20"/>
        <v>1.3071895424836601</v>
      </c>
      <c r="T90" s="91">
        <f t="shared" si="20"/>
        <v>1.3071895424836601</v>
      </c>
      <c r="U90" s="91">
        <f t="shared" si="20"/>
        <v>1.3071895424836601</v>
      </c>
      <c r="V90" s="91">
        <f t="shared" si="20"/>
        <v>1.3071895424836601</v>
      </c>
      <c r="W90" s="91">
        <f t="shared" si="20"/>
        <v>1.3071895424836601</v>
      </c>
      <c r="X90" s="91">
        <f t="shared" si="20"/>
        <v>1.3071895424836601</v>
      </c>
      <c r="Y90" s="91">
        <f t="shared" si="20"/>
        <v>1.3071895424836601</v>
      </c>
      <c r="Z90" s="91">
        <f t="shared" si="20"/>
        <v>1.3071895424836601</v>
      </c>
      <c r="AA90" s="91">
        <f t="shared" si="20"/>
        <v>1.3071895424836601</v>
      </c>
      <c r="AB90" s="91">
        <f t="shared" si="20"/>
        <v>1.3071895424836601</v>
      </c>
      <c r="AC90" s="91">
        <f t="shared" si="20"/>
        <v>1.3071895424836601</v>
      </c>
      <c r="AD90" s="91">
        <f t="shared" si="20"/>
        <v>1.3071895424836601</v>
      </c>
      <c r="AE90" s="91">
        <f t="shared" si="20"/>
        <v>1.3071895424836601</v>
      </c>
      <c r="AF90" s="91">
        <f t="shared" si="20"/>
        <v>1.3071895424836601</v>
      </c>
    </row>
    <row r="91" spans="1:32" s="107" customFormat="1" ht="12.75">
      <c r="A91" s="62"/>
      <c r="B91" s="89" t="s">
        <v>377</v>
      </c>
      <c r="C91" s="90">
        <f aca="true" t="shared" si="21" ref="C91:AF91">(C89-C87)*C90</f>
        <v>0</v>
      </c>
      <c r="D91" s="90">
        <f t="shared" si="21"/>
        <v>0</v>
      </c>
      <c r="E91" s="90">
        <f t="shared" si="21"/>
        <v>0</v>
      </c>
      <c r="F91" s="90">
        <f t="shared" si="21"/>
        <v>0</v>
      </c>
      <c r="G91" s="90">
        <f t="shared" si="21"/>
        <v>0</v>
      </c>
      <c r="H91" s="90">
        <f t="shared" si="21"/>
        <v>0</v>
      </c>
      <c r="I91" s="90">
        <f t="shared" si="21"/>
        <v>0</v>
      </c>
      <c r="J91" s="90">
        <f t="shared" si="21"/>
        <v>0</v>
      </c>
      <c r="K91" s="90">
        <f t="shared" si="21"/>
        <v>0</v>
      </c>
      <c r="L91" s="90">
        <f t="shared" si="21"/>
        <v>0</v>
      </c>
      <c r="M91" s="90">
        <f t="shared" si="21"/>
        <v>0</v>
      </c>
      <c r="N91" s="90">
        <f t="shared" si="21"/>
        <v>0</v>
      </c>
      <c r="O91" s="90">
        <f t="shared" si="21"/>
        <v>0</v>
      </c>
      <c r="P91" s="90">
        <f t="shared" si="21"/>
        <v>0</v>
      </c>
      <c r="Q91" s="90">
        <f t="shared" si="21"/>
        <v>0</v>
      </c>
      <c r="R91" s="90">
        <f t="shared" si="21"/>
        <v>0</v>
      </c>
      <c r="S91" s="90">
        <f t="shared" si="21"/>
        <v>0</v>
      </c>
      <c r="T91" s="90">
        <f t="shared" si="21"/>
        <v>0</v>
      </c>
      <c r="U91" s="90">
        <f t="shared" si="21"/>
        <v>0</v>
      </c>
      <c r="V91" s="90">
        <f t="shared" si="21"/>
        <v>0</v>
      </c>
      <c r="W91" s="90">
        <f t="shared" si="21"/>
        <v>0</v>
      </c>
      <c r="X91" s="90">
        <f t="shared" si="21"/>
        <v>0</v>
      </c>
      <c r="Y91" s="90">
        <f t="shared" si="21"/>
        <v>0</v>
      </c>
      <c r="Z91" s="90">
        <f t="shared" si="21"/>
        <v>0</v>
      </c>
      <c r="AA91" s="90">
        <f t="shared" si="21"/>
        <v>0</v>
      </c>
      <c r="AB91" s="90">
        <f t="shared" si="21"/>
        <v>0</v>
      </c>
      <c r="AC91" s="90">
        <f t="shared" si="21"/>
        <v>0</v>
      </c>
      <c r="AD91" s="90">
        <f t="shared" si="21"/>
        <v>0</v>
      </c>
      <c r="AE91" s="90">
        <f t="shared" si="21"/>
        <v>0</v>
      </c>
      <c r="AF91" s="90">
        <f t="shared" si="21"/>
        <v>0</v>
      </c>
    </row>
    <row r="92" ht="12.75"/>
    <row r="93" spans="2:3" ht="12.75">
      <c r="B93" s="57" t="s">
        <v>330</v>
      </c>
      <c r="C93" s="92" t="s">
        <v>85</v>
      </c>
    </row>
    <row r="94" spans="1:32" s="107" customFormat="1" ht="12.75">
      <c r="A94" s="62"/>
      <c r="B94" s="89" t="s">
        <v>48</v>
      </c>
      <c r="C94" s="227">
        <f>VLOOKUP(C$11,'IAG Fuel Price Projections'!$B$7:$U$97,IF($C93="Low",13,IF($C93="Central",16,19)),0)</f>
        <v>3.316620245507792</v>
      </c>
      <c r="D94" s="227">
        <f>VLOOKUP(D$11,'IAG Fuel Price Projections'!$B$7:$U$97,IF($C93="Low",13,IF($C93="Central",16,19)),0)</f>
        <v>3.4415054424423825</v>
      </c>
      <c r="E94" s="227">
        <f>VLOOKUP(E$11,'IAG Fuel Price Projections'!$B$7:$U$97,IF($C93="Low",13,IF($C93="Central",16,19)),0)</f>
        <v>3.485413547252341</v>
      </c>
      <c r="F94" s="227">
        <f>VLOOKUP(F$11,'IAG Fuel Price Projections'!$B$7:$U$97,IF($C93="Low",13,IF($C93="Central",16,19)),0)</f>
        <v>3.5563140161038436</v>
      </c>
      <c r="G94" s="227">
        <f>VLOOKUP(G$11,'IAG Fuel Price Projections'!$B$7:$U$97,IF($C93="Low",13,IF($C93="Central",16,19)),0)</f>
        <v>3.6272144849553465</v>
      </c>
      <c r="H94" s="227">
        <f>VLOOKUP(H$11,'IAG Fuel Price Projections'!$B$7:$U$97,IF($C93="Low",13,IF($C93="Central",16,19)),0)</f>
        <v>3.6364181217118916</v>
      </c>
      <c r="I94" s="227">
        <f>VLOOKUP(I$11,'IAG Fuel Price Projections'!$B$7:$U$97,IF($C93="Low",13,IF($C93="Central",16,19)),0)</f>
        <v>3.645621758468436</v>
      </c>
      <c r="J94" s="227">
        <f>VLOOKUP(J$11,'IAG Fuel Price Projections'!$B$7:$U$97,IF($C93="Low",13,IF($C93="Central",16,19)),0)</f>
        <v>3.654825395224981</v>
      </c>
      <c r="K94" s="227">
        <f>VLOOKUP(K$11,'IAG Fuel Price Projections'!$B$7:$U$97,IF($C93="Low",13,IF($C93="Central",16,19)),0)</f>
        <v>3.6640290319815247</v>
      </c>
      <c r="L94" s="227">
        <f>VLOOKUP(L$11,'IAG Fuel Price Projections'!$B$7:$U$97,IF($C93="Low",13,IF($C93="Central",16,19)),0)</f>
        <v>3.673232668738069</v>
      </c>
      <c r="M94" s="227">
        <f>VLOOKUP(M$11,'IAG Fuel Price Projections'!$B$7:$U$97,IF($C93="Low",13,IF($C93="Central",16,19)),0)</f>
        <v>3.682436305494614</v>
      </c>
      <c r="N94" s="227">
        <f>VLOOKUP(N$11,'IAG Fuel Price Projections'!$B$7:$U$97,IF($C93="Low",13,IF($C93="Central",16,19)),0)</f>
        <v>3.6916399422511583</v>
      </c>
      <c r="O94" s="227">
        <f>VLOOKUP(O$11,'IAG Fuel Price Projections'!$B$7:$U$97,IF($C93="Low",13,IF($C93="Central",16,19)),0)</f>
        <v>3.7008435790077034</v>
      </c>
      <c r="P94" s="227">
        <f>VLOOKUP(P$11,'IAG Fuel Price Projections'!$B$7:$U$97,IF($C93="Low",13,IF($C93="Central",16,19)),0)</f>
        <v>3.7100472157642477</v>
      </c>
      <c r="Q94" s="227">
        <f>VLOOKUP(Q$11,'IAG Fuel Price Projections'!$B$7:$U$97,IF($C93="Low",13,IF($C93="Central",16,19)),0)</f>
        <v>3.719250852520792</v>
      </c>
      <c r="R94" s="227">
        <f>VLOOKUP(R$11,'IAG Fuel Price Projections'!$B$7:$U$97,IF($C93="Low",13,IF($C93="Central",16,19)),0)</f>
        <v>3.728454489277337</v>
      </c>
      <c r="S94" s="227">
        <f>VLOOKUP(S$11,'IAG Fuel Price Projections'!$B$7:$U$97,IF($C93="Low",13,IF($C93="Central",16,19)),0)</f>
        <v>3.737658126033881</v>
      </c>
      <c r="T94" s="227">
        <f>VLOOKUP(T$11,'IAG Fuel Price Projections'!$B$7:$U$97,IF($C93="Low",13,IF($C93="Central",16,19)),0)</f>
        <v>3.737658126033881</v>
      </c>
      <c r="U94" s="227">
        <f>VLOOKUP(U$11,'IAG Fuel Price Projections'!$B$7:$U$97,IF($C93="Low",13,IF($C93="Central",16,19)),0)</f>
        <v>3.737658126033881</v>
      </c>
      <c r="V94" s="227">
        <f>VLOOKUP(V$11,'IAG Fuel Price Projections'!$B$7:$U$97,IF($C93="Low",13,IF($C93="Central",16,19)),0)</f>
        <v>3.737658126033881</v>
      </c>
      <c r="W94" s="227">
        <f>VLOOKUP(W$11,'IAG Fuel Price Projections'!$B$7:$U$97,IF($C93="Low",13,IF($C93="Central",16,19)),0)</f>
        <v>3.737658126033881</v>
      </c>
      <c r="X94" s="227">
        <f>VLOOKUP(X$11,'IAG Fuel Price Projections'!$B$7:$U$97,IF($C93="Low",13,IF($C93="Central",16,19)),0)</f>
        <v>3.737658126033881</v>
      </c>
      <c r="Y94" s="227">
        <f>VLOOKUP(Y$11,'IAG Fuel Price Projections'!$B$7:$U$97,IF($C93="Low",13,IF($C93="Central",16,19)),0)</f>
        <v>3.737658126033881</v>
      </c>
      <c r="Z94" s="227">
        <f>VLOOKUP(Z$11,'IAG Fuel Price Projections'!$B$7:$U$97,IF($C93="Low",13,IF($C93="Central",16,19)),0)</f>
        <v>3.737658126033881</v>
      </c>
      <c r="AA94" s="227">
        <f>VLOOKUP(AA$11,'IAG Fuel Price Projections'!$B$7:$U$97,IF($C93="Low",13,IF($C93="Central",16,19)),0)</f>
        <v>3.737658126033881</v>
      </c>
      <c r="AB94" s="227">
        <f>VLOOKUP(AB$11,'IAG Fuel Price Projections'!$B$7:$U$97,IF($C93="Low",13,IF($C93="Central",16,19)),0)</f>
        <v>3.737658126033881</v>
      </c>
      <c r="AC94" s="227">
        <f>VLOOKUP(AC$11,'IAG Fuel Price Projections'!$B$7:$U$97,IF($C93="Low",13,IF($C93="Central",16,19)),0)</f>
        <v>3.737658126033881</v>
      </c>
      <c r="AD94" s="227">
        <f>VLOOKUP(AD$11,'IAG Fuel Price Projections'!$B$7:$U$97,IF($C93="Low",13,IF($C93="Central",16,19)),0)</f>
        <v>3.737658126033881</v>
      </c>
      <c r="AE94" s="227">
        <f>VLOOKUP(AE$11,'IAG Fuel Price Projections'!$B$7:$U$97,IF($C93="Low",13,IF($C93="Central",16,19)),0)</f>
        <v>3.737658126033881</v>
      </c>
      <c r="AF94" s="227">
        <f>VLOOKUP(AF$11,'IAG Fuel Price Projections'!$B$7:$U$97,IF($C93="Low",13,IF($C93="Central",16,19)),0)</f>
        <v>3.737658126033881</v>
      </c>
    </row>
    <row r="95" spans="1:32" s="73" customFormat="1" ht="12.75">
      <c r="A95" s="71"/>
      <c r="B95" s="93" t="s">
        <v>378</v>
      </c>
      <c r="C95" s="94" t="e">
        <f aca="true" t="shared" si="22" ref="C95:AF95">(C85)*C94*0.01</f>
        <v>#N/A</v>
      </c>
      <c r="D95" s="94" t="e">
        <f t="shared" si="22"/>
        <v>#N/A</v>
      </c>
      <c r="E95" s="94" t="e">
        <f t="shared" si="22"/>
        <v>#N/A</v>
      </c>
      <c r="F95" s="94" t="e">
        <f t="shared" si="22"/>
        <v>#N/A</v>
      </c>
      <c r="G95" s="94" t="e">
        <f t="shared" si="22"/>
        <v>#N/A</v>
      </c>
      <c r="H95" s="94" t="e">
        <f t="shared" si="22"/>
        <v>#N/A</v>
      </c>
      <c r="I95" s="94" t="e">
        <f t="shared" si="22"/>
        <v>#N/A</v>
      </c>
      <c r="J95" s="94" t="e">
        <f t="shared" si="22"/>
        <v>#N/A</v>
      </c>
      <c r="K95" s="94" t="e">
        <f t="shared" si="22"/>
        <v>#N/A</v>
      </c>
      <c r="L95" s="94" t="e">
        <f t="shared" si="22"/>
        <v>#N/A</v>
      </c>
      <c r="M95" s="94" t="e">
        <f t="shared" si="22"/>
        <v>#N/A</v>
      </c>
      <c r="N95" s="94" t="e">
        <f t="shared" si="22"/>
        <v>#N/A</v>
      </c>
      <c r="O95" s="94" t="e">
        <f t="shared" si="22"/>
        <v>#N/A</v>
      </c>
      <c r="P95" s="94" t="e">
        <f t="shared" si="22"/>
        <v>#N/A</v>
      </c>
      <c r="Q95" s="94" t="e">
        <f t="shared" si="22"/>
        <v>#N/A</v>
      </c>
      <c r="R95" s="94" t="e">
        <f t="shared" si="22"/>
        <v>#N/A</v>
      </c>
      <c r="S95" s="94" t="e">
        <f t="shared" si="22"/>
        <v>#N/A</v>
      </c>
      <c r="T95" s="94" t="e">
        <f t="shared" si="22"/>
        <v>#N/A</v>
      </c>
      <c r="U95" s="94" t="e">
        <f t="shared" si="22"/>
        <v>#N/A</v>
      </c>
      <c r="V95" s="94" t="e">
        <f t="shared" si="22"/>
        <v>#N/A</v>
      </c>
      <c r="W95" s="94" t="e">
        <f t="shared" si="22"/>
        <v>#N/A</v>
      </c>
      <c r="X95" s="94" t="e">
        <f t="shared" si="22"/>
        <v>#N/A</v>
      </c>
      <c r="Y95" s="94" t="e">
        <f t="shared" si="22"/>
        <v>#N/A</v>
      </c>
      <c r="Z95" s="94" t="e">
        <f t="shared" si="22"/>
        <v>#N/A</v>
      </c>
      <c r="AA95" s="94" t="e">
        <f t="shared" si="22"/>
        <v>#N/A</v>
      </c>
      <c r="AB95" s="94" t="e">
        <f t="shared" si="22"/>
        <v>#N/A</v>
      </c>
      <c r="AC95" s="94" t="e">
        <f t="shared" si="22"/>
        <v>#N/A</v>
      </c>
      <c r="AD95" s="94" t="e">
        <f t="shared" si="22"/>
        <v>#N/A</v>
      </c>
      <c r="AE95" s="94" t="e">
        <f t="shared" si="22"/>
        <v>#N/A</v>
      </c>
      <c r="AF95" s="94" t="e">
        <f t="shared" si="22"/>
        <v>#N/A</v>
      </c>
    </row>
    <row r="96" spans="1:32" s="73" customFormat="1" ht="12.75">
      <c r="A96" s="71"/>
      <c r="B96" s="93" t="s">
        <v>379</v>
      </c>
      <c r="C96" s="94">
        <f>(C91)*C94*0.01</f>
        <v>0</v>
      </c>
      <c r="D96" s="94">
        <f aca="true" t="shared" si="23" ref="D96:AF96">(D91)*D94*0.01</f>
        <v>0</v>
      </c>
      <c r="E96" s="94">
        <f t="shared" si="23"/>
        <v>0</v>
      </c>
      <c r="F96" s="94">
        <f t="shared" si="23"/>
        <v>0</v>
      </c>
      <c r="G96" s="94">
        <f t="shared" si="23"/>
        <v>0</v>
      </c>
      <c r="H96" s="94">
        <f t="shared" si="23"/>
        <v>0</v>
      </c>
      <c r="I96" s="94">
        <f t="shared" si="23"/>
        <v>0</v>
      </c>
      <c r="J96" s="94">
        <f t="shared" si="23"/>
        <v>0</v>
      </c>
      <c r="K96" s="94">
        <f t="shared" si="23"/>
        <v>0</v>
      </c>
      <c r="L96" s="94">
        <f t="shared" si="23"/>
        <v>0</v>
      </c>
      <c r="M96" s="94">
        <f t="shared" si="23"/>
        <v>0</v>
      </c>
      <c r="N96" s="94">
        <f t="shared" si="23"/>
        <v>0</v>
      </c>
      <c r="O96" s="94">
        <f t="shared" si="23"/>
        <v>0</v>
      </c>
      <c r="P96" s="94">
        <f t="shared" si="23"/>
        <v>0</v>
      </c>
      <c r="Q96" s="94">
        <f t="shared" si="23"/>
        <v>0</v>
      </c>
      <c r="R96" s="94">
        <f t="shared" si="23"/>
        <v>0</v>
      </c>
      <c r="S96" s="94">
        <f t="shared" si="23"/>
        <v>0</v>
      </c>
      <c r="T96" s="94">
        <f t="shared" si="23"/>
        <v>0</v>
      </c>
      <c r="U96" s="94">
        <f t="shared" si="23"/>
        <v>0</v>
      </c>
      <c r="V96" s="94">
        <f t="shared" si="23"/>
        <v>0</v>
      </c>
      <c r="W96" s="94">
        <f t="shared" si="23"/>
        <v>0</v>
      </c>
      <c r="X96" s="94">
        <f t="shared" si="23"/>
        <v>0</v>
      </c>
      <c r="Y96" s="94">
        <f t="shared" si="23"/>
        <v>0</v>
      </c>
      <c r="Z96" s="94">
        <f t="shared" si="23"/>
        <v>0</v>
      </c>
      <c r="AA96" s="94">
        <f t="shared" si="23"/>
        <v>0</v>
      </c>
      <c r="AB96" s="94">
        <f t="shared" si="23"/>
        <v>0</v>
      </c>
      <c r="AC96" s="94">
        <f t="shared" si="23"/>
        <v>0</v>
      </c>
      <c r="AD96" s="94">
        <f t="shared" si="23"/>
        <v>0</v>
      </c>
      <c r="AE96" s="94">
        <f t="shared" si="23"/>
        <v>0</v>
      </c>
      <c r="AF96" s="94">
        <f t="shared" si="23"/>
        <v>0</v>
      </c>
    </row>
    <row r="97" ht="12.75"/>
    <row r="98" ht="12.75"/>
    <row r="99" spans="1:32" ht="12.75">
      <c r="A99" s="288"/>
      <c r="B99" s="87" t="s">
        <v>351</v>
      </c>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row>
    <row r="100" spans="2:13" ht="12.75">
      <c r="B100" s="39" t="s">
        <v>362</v>
      </c>
      <c r="E100" s="39" t="s">
        <v>339</v>
      </c>
      <c r="M100" s="39" t="s">
        <v>246</v>
      </c>
    </row>
    <row r="101" spans="2:6" ht="12.75">
      <c r="B101" s="57" t="s">
        <v>222</v>
      </c>
      <c r="C101" s="281">
        <f>Costs!C50</f>
        <v>1500</v>
      </c>
      <c r="E101" s="78" t="s">
        <v>605</v>
      </c>
      <c r="F101" s="282" t="e">
        <f>ROUNDUP(C104/C102,0)</f>
        <v>#DIV/0!</v>
      </c>
    </row>
    <row r="102" spans="2:14" ht="12.75">
      <c r="B102" s="57" t="s">
        <v>331</v>
      </c>
      <c r="C102" s="282">
        <f>'User Interface'!C14</f>
        <v>0</v>
      </c>
      <c r="E102" s="78" t="s">
        <v>340</v>
      </c>
      <c r="F102" s="282" t="e">
        <f>ROUNDUP((C104/C102)/250,0)*C102</f>
        <v>#DIV/0!</v>
      </c>
      <c r="L102" s="155" t="s">
        <v>618</v>
      </c>
      <c r="M102" s="281">
        <f>IF(AND('User Interface'!C101="No",'User Interface'!C102="No",'User Interface'!C103="No"),ROUNDUP(SUM(D58:D79)/100,0.1)*Costs!$C$72,0)</f>
        <v>0</v>
      </c>
      <c r="N102" s="39" t="str">
        <f>IF(M102=0,"Controls already present","No controls, so this is added cost per 150m2 of GIA")</f>
        <v>Controls already present</v>
      </c>
    </row>
    <row r="103" spans="2:14" ht="12.75">
      <c r="B103" s="57" t="s">
        <v>290</v>
      </c>
      <c r="C103" s="282">
        <f>'User Interface'!C91</f>
        <v>0</v>
      </c>
      <c r="E103" s="78" t="s">
        <v>338</v>
      </c>
      <c r="F103" s="283" t="e">
        <f>IF(F101&lt;=8,Costs!C20,IF(F101&lt;=32,Costs!C19,IF(F101&lt;=64,Costs!C18,IF(F101&lt;=250,Costs!C17,Costs!C17))))*F102</f>
        <v>#DIV/0!</v>
      </c>
      <c r="G103" s="294"/>
      <c r="M103" s="281">
        <f>ROUNDUP(SUM(D58:D79)/100,0.1)*Costs!$C$72</f>
        <v>0</v>
      </c>
      <c r="N103" s="39" t="s">
        <v>611</v>
      </c>
    </row>
    <row r="104" spans="2:6" ht="12.75">
      <c r="B104" s="77" t="s">
        <v>364</v>
      </c>
      <c r="C104" s="278">
        <f>'User Interface'!C89</f>
        <v>0</v>
      </c>
      <c r="E104" s="78" t="s">
        <v>335</v>
      </c>
      <c r="F104" s="283" t="e">
        <f>IF(($C$104/$C$102)&lt;251,IF(($C$104/$C$102)&lt;151,($C$104/$C$102)*Costs!$C$22,7500)*$F$102,(ROUNDDOWN(($C$104/250),0)*7500)+(($C$104-(ROUNDDOWN(($C$10680/250),0)*250))*50))</f>
        <v>#DIV/0!</v>
      </c>
    </row>
    <row r="105" spans="2:6" ht="12.75">
      <c r="B105" s="57" t="s">
        <v>365</v>
      </c>
      <c r="C105" s="282" t="e">
        <f>C104/(C103*C102)</f>
        <v>#DIV/0!</v>
      </c>
      <c r="E105" s="79" t="s">
        <v>336</v>
      </c>
      <c r="F105" s="283">
        <f>Costs!C29</f>
        <v>15</v>
      </c>
    </row>
    <row r="106" spans="2:6" ht="12.75">
      <c r="B106" s="57" t="s">
        <v>224</v>
      </c>
      <c r="C106" s="281">
        <f>Costs!C57</f>
        <v>105</v>
      </c>
      <c r="E106" s="79" t="s">
        <v>341</v>
      </c>
      <c r="F106" s="283" t="e">
        <f>IF(C105&lt;6,Costs!C31,IF(C105&lt;10,Costs!C32,Costs!C33))*C103*C102</f>
        <v>#DIV/0!</v>
      </c>
    </row>
    <row r="107" spans="2:6" ht="24">
      <c r="B107" s="97" t="s">
        <v>489</v>
      </c>
      <c r="C107" s="283">
        <f>IF('User Interface'!C99="Landlord's space",0,IF(OR('User Interface'!C100=Lists!AA35,'User Interface'!C100=Lists!AA37),0,C101))</f>
        <v>1500</v>
      </c>
      <c r="E107" s="79" t="s">
        <v>368</v>
      </c>
      <c r="F107" s="283" t="e">
        <f>(F103+F104+F105+F106)/C104</f>
        <v>#DIV/0!</v>
      </c>
    </row>
    <row r="108" ht="12.75"/>
    <row r="109" spans="1:32" s="107" customFormat="1" ht="12.75">
      <c r="A109" s="62"/>
      <c r="B109" s="89" t="s">
        <v>344</v>
      </c>
      <c r="C109" s="96">
        <f>Costs!C60*C104</f>
        <v>0</v>
      </c>
      <c r="D109" s="96">
        <f>C109</f>
        <v>0</v>
      </c>
      <c r="E109" s="96">
        <f aca="true" t="shared" si="24" ref="E109:AF109">D109</f>
        <v>0</v>
      </c>
      <c r="F109" s="96">
        <f t="shared" si="24"/>
        <v>0</v>
      </c>
      <c r="G109" s="96">
        <f t="shared" si="24"/>
        <v>0</v>
      </c>
      <c r="H109" s="96">
        <f t="shared" si="24"/>
        <v>0</v>
      </c>
      <c r="I109" s="96">
        <f t="shared" si="24"/>
        <v>0</v>
      </c>
      <c r="J109" s="96">
        <f t="shared" si="24"/>
        <v>0</v>
      </c>
      <c r="K109" s="96">
        <f t="shared" si="24"/>
        <v>0</v>
      </c>
      <c r="L109" s="96">
        <f t="shared" si="24"/>
        <v>0</v>
      </c>
      <c r="M109" s="96">
        <f t="shared" si="24"/>
        <v>0</v>
      </c>
      <c r="N109" s="96">
        <f t="shared" si="24"/>
        <v>0</v>
      </c>
      <c r="O109" s="96">
        <f t="shared" si="24"/>
        <v>0</v>
      </c>
      <c r="P109" s="96">
        <f t="shared" si="24"/>
        <v>0</v>
      </c>
      <c r="Q109" s="96">
        <f t="shared" si="24"/>
        <v>0</v>
      </c>
      <c r="R109" s="96">
        <f t="shared" si="24"/>
        <v>0</v>
      </c>
      <c r="S109" s="96">
        <f t="shared" si="24"/>
        <v>0</v>
      </c>
      <c r="T109" s="96">
        <f t="shared" si="24"/>
        <v>0</v>
      </c>
      <c r="U109" s="96">
        <f t="shared" si="24"/>
        <v>0</v>
      </c>
      <c r="V109" s="96">
        <f t="shared" si="24"/>
        <v>0</v>
      </c>
      <c r="W109" s="96">
        <f t="shared" si="24"/>
        <v>0</v>
      </c>
      <c r="X109" s="96">
        <f t="shared" si="24"/>
        <v>0</v>
      </c>
      <c r="Y109" s="96">
        <f t="shared" si="24"/>
        <v>0</v>
      </c>
      <c r="Z109" s="96">
        <f t="shared" si="24"/>
        <v>0</v>
      </c>
      <c r="AA109" s="96">
        <f t="shared" si="24"/>
        <v>0</v>
      </c>
      <c r="AB109" s="96">
        <f t="shared" si="24"/>
        <v>0</v>
      </c>
      <c r="AC109" s="96">
        <f t="shared" si="24"/>
        <v>0</v>
      </c>
      <c r="AD109" s="96">
        <f t="shared" si="24"/>
        <v>0</v>
      </c>
      <c r="AE109" s="96">
        <f t="shared" si="24"/>
        <v>0</v>
      </c>
      <c r="AF109" s="96">
        <f t="shared" si="24"/>
        <v>0</v>
      </c>
    </row>
    <row r="110" spans="1:32" s="107" customFormat="1" ht="12.75">
      <c r="A110" s="62"/>
      <c r="B110" s="89" t="s">
        <v>345</v>
      </c>
      <c r="C110" s="96" t="e">
        <f>(C101+C106+F107)*C104</f>
        <v>#DIV/0!</v>
      </c>
      <c r="D110" s="96">
        <v>0</v>
      </c>
      <c r="E110" s="96">
        <v>0</v>
      </c>
      <c r="F110" s="96">
        <v>0</v>
      </c>
      <c r="G110" s="96">
        <v>0</v>
      </c>
      <c r="H110" s="96">
        <v>0</v>
      </c>
      <c r="I110" s="96">
        <v>0</v>
      </c>
      <c r="J110" s="96">
        <v>0</v>
      </c>
      <c r="K110" s="96">
        <v>0</v>
      </c>
      <c r="L110" s="96">
        <v>0</v>
      </c>
      <c r="M110" s="102" t="e">
        <f>((C101+Costs!C52+F107)*C104)-(F105/C104)</f>
        <v>#DIV/0!</v>
      </c>
      <c r="N110" s="96">
        <v>0</v>
      </c>
      <c r="O110" s="96">
        <v>0</v>
      </c>
      <c r="P110" s="96">
        <v>0</v>
      </c>
      <c r="Q110" s="96">
        <f>M103</f>
        <v>0</v>
      </c>
      <c r="R110" s="96">
        <v>0</v>
      </c>
      <c r="S110" s="96">
        <v>0</v>
      </c>
      <c r="T110" s="96">
        <v>0</v>
      </c>
      <c r="U110" s="96">
        <v>0</v>
      </c>
      <c r="V110" s="96">
        <v>0</v>
      </c>
      <c r="W110" s="96" t="e">
        <f>M110</f>
        <v>#DIV/0!</v>
      </c>
      <c r="X110" s="96">
        <v>0</v>
      </c>
      <c r="Y110" s="96">
        <v>0</v>
      </c>
      <c r="Z110" s="96">
        <v>0</v>
      </c>
      <c r="AA110" s="96">
        <v>0</v>
      </c>
      <c r="AB110" s="96">
        <v>0</v>
      </c>
      <c r="AC110" s="96">
        <v>0</v>
      </c>
      <c r="AD110" s="96">
        <v>0</v>
      </c>
      <c r="AE110" s="96">
        <v>0</v>
      </c>
      <c r="AF110" s="96">
        <v>0</v>
      </c>
    </row>
    <row r="111" spans="1:32" s="73" customFormat="1" ht="12.75">
      <c r="A111" s="71"/>
      <c r="B111" s="93" t="s">
        <v>346</v>
      </c>
      <c r="C111" s="94" t="e">
        <f aca="true" t="shared" si="25" ref="C111:AF111">C110+C109</f>
        <v>#DIV/0!</v>
      </c>
      <c r="D111" s="94">
        <f t="shared" si="25"/>
        <v>0</v>
      </c>
      <c r="E111" s="94">
        <f t="shared" si="25"/>
        <v>0</v>
      </c>
      <c r="F111" s="94">
        <f t="shared" si="25"/>
        <v>0</v>
      </c>
      <c r="G111" s="94">
        <f t="shared" si="25"/>
        <v>0</v>
      </c>
      <c r="H111" s="94">
        <f t="shared" si="25"/>
        <v>0</v>
      </c>
      <c r="I111" s="94">
        <f t="shared" si="25"/>
        <v>0</v>
      </c>
      <c r="J111" s="94">
        <f t="shared" si="25"/>
        <v>0</v>
      </c>
      <c r="K111" s="94">
        <f t="shared" si="25"/>
        <v>0</v>
      </c>
      <c r="L111" s="94">
        <f t="shared" si="25"/>
        <v>0</v>
      </c>
      <c r="M111" s="94" t="e">
        <f t="shared" si="25"/>
        <v>#DIV/0!</v>
      </c>
      <c r="N111" s="94">
        <f t="shared" si="25"/>
        <v>0</v>
      </c>
      <c r="O111" s="94">
        <f t="shared" si="25"/>
        <v>0</v>
      </c>
      <c r="P111" s="94">
        <f t="shared" si="25"/>
        <v>0</v>
      </c>
      <c r="Q111" s="94">
        <f t="shared" si="25"/>
        <v>0</v>
      </c>
      <c r="R111" s="94">
        <f t="shared" si="25"/>
        <v>0</v>
      </c>
      <c r="S111" s="94">
        <f t="shared" si="25"/>
        <v>0</v>
      </c>
      <c r="T111" s="94">
        <f t="shared" si="25"/>
        <v>0</v>
      </c>
      <c r="U111" s="94">
        <f t="shared" si="25"/>
        <v>0</v>
      </c>
      <c r="V111" s="94">
        <f t="shared" si="25"/>
        <v>0</v>
      </c>
      <c r="W111" s="94" t="e">
        <f t="shared" si="25"/>
        <v>#DIV/0!</v>
      </c>
      <c r="X111" s="94">
        <f t="shared" si="25"/>
        <v>0</v>
      </c>
      <c r="Y111" s="94">
        <f t="shared" si="25"/>
        <v>0</v>
      </c>
      <c r="Z111" s="94">
        <f t="shared" si="25"/>
        <v>0</v>
      </c>
      <c r="AA111" s="94">
        <f t="shared" si="25"/>
        <v>0</v>
      </c>
      <c r="AB111" s="94">
        <f t="shared" si="25"/>
        <v>0</v>
      </c>
      <c r="AC111" s="94">
        <f t="shared" si="25"/>
        <v>0</v>
      </c>
      <c r="AD111" s="94">
        <f t="shared" si="25"/>
        <v>0</v>
      </c>
      <c r="AE111" s="94">
        <f t="shared" si="25"/>
        <v>0</v>
      </c>
      <c r="AF111" s="94">
        <f t="shared" si="25"/>
        <v>0</v>
      </c>
    </row>
    <row r="112" ht="12.75"/>
    <row r="113" spans="1:32" ht="12.75">
      <c r="A113" s="288"/>
      <c r="B113" s="87" t="s">
        <v>352</v>
      </c>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row>
    <row r="114" spans="2:3" ht="12.75">
      <c r="B114" s="57" t="s">
        <v>356</v>
      </c>
      <c r="C114" s="281">
        <f>Costs!B42</f>
        <v>40</v>
      </c>
    </row>
    <row r="115" spans="2:3" ht="12.75">
      <c r="B115" s="77" t="s">
        <v>354</v>
      </c>
      <c r="C115" s="286">
        <f>'User Interface'!C97</f>
        <v>0</v>
      </c>
    </row>
    <row r="116" spans="2:3" ht="12.75">
      <c r="B116" s="77" t="s">
        <v>370</v>
      </c>
      <c r="C116" s="283">
        <f>C115*C114</f>
        <v>0</v>
      </c>
    </row>
    <row r="117" spans="2:3" ht="24">
      <c r="B117" s="97" t="s">
        <v>223</v>
      </c>
      <c r="C117" s="283" t="e">
        <f>F107</f>
        <v>#DIV/0!</v>
      </c>
    </row>
    <row r="118" spans="2:3" ht="12.75">
      <c r="B118" s="77" t="s">
        <v>358</v>
      </c>
      <c r="C118" s="283">
        <f>IF('User Interface'!C99="Landlord's space",0,IF('User Interface'!C100=Lists!AA37,0,Costs!E42))</f>
        <v>150</v>
      </c>
    </row>
    <row r="119" ht="12.75"/>
    <row r="120" spans="1:32" s="107" customFormat="1" ht="12.75">
      <c r="A120" s="62"/>
      <c r="B120" s="89" t="s">
        <v>344</v>
      </c>
      <c r="C120" s="96">
        <f>Costs!B45*CBA!C104</f>
        <v>0</v>
      </c>
      <c r="D120" s="96">
        <f aca="true" t="shared" si="26" ref="D120:AF120">C120</f>
        <v>0</v>
      </c>
      <c r="E120" s="96">
        <f t="shared" si="26"/>
        <v>0</v>
      </c>
      <c r="F120" s="96">
        <f t="shared" si="26"/>
        <v>0</v>
      </c>
      <c r="G120" s="96">
        <f t="shared" si="26"/>
        <v>0</v>
      </c>
      <c r="H120" s="96">
        <f t="shared" si="26"/>
        <v>0</v>
      </c>
      <c r="I120" s="96">
        <f t="shared" si="26"/>
        <v>0</v>
      </c>
      <c r="J120" s="96">
        <f t="shared" si="26"/>
        <v>0</v>
      </c>
      <c r="K120" s="96">
        <f t="shared" si="26"/>
        <v>0</v>
      </c>
      <c r="L120" s="96">
        <f t="shared" si="26"/>
        <v>0</v>
      </c>
      <c r="M120" s="96">
        <f t="shared" si="26"/>
        <v>0</v>
      </c>
      <c r="N120" s="96">
        <f t="shared" si="26"/>
        <v>0</v>
      </c>
      <c r="O120" s="96">
        <f t="shared" si="26"/>
        <v>0</v>
      </c>
      <c r="P120" s="96">
        <f t="shared" si="26"/>
        <v>0</v>
      </c>
      <c r="Q120" s="96">
        <f t="shared" si="26"/>
        <v>0</v>
      </c>
      <c r="R120" s="96">
        <f t="shared" si="26"/>
        <v>0</v>
      </c>
      <c r="S120" s="96">
        <f t="shared" si="26"/>
        <v>0</v>
      </c>
      <c r="T120" s="96">
        <f t="shared" si="26"/>
        <v>0</v>
      </c>
      <c r="U120" s="96">
        <f t="shared" si="26"/>
        <v>0</v>
      </c>
      <c r="V120" s="96">
        <f t="shared" si="26"/>
        <v>0</v>
      </c>
      <c r="W120" s="96">
        <f t="shared" si="26"/>
        <v>0</v>
      </c>
      <c r="X120" s="96">
        <f t="shared" si="26"/>
        <v>0</v>
      </c>
      <c r="Y120" s="96">
        <f t="shared" si="26"/>
        <v>0</v>
      </c>
      <c r="Z120" s="96">
        <f t="shared" si="26"/>
        <v>0</v>
      </c>
      <c r="AA120" s="96">
        <f t="shared" si="26"/>
        <v>0</v>
      </c>
      <c r="AB120" s="96">
        <f t="shared" si="26"/>
        <v>0</v>
      </c>
      <c r="AC120" s="96">
        <f t="shared" si="26"/>
        <v>0</v>
      </c>
      <c r="AD120" s="96">
        <f t="shared" si="26"/>
        <v>0</v>
      </c>
      <c r="AE120" s="96">
        <f t="shared" si="26"/>
        <v>0</v>
      </c>
      <c r="AF120" s="96">
        <f t="shared" si="26"/>
        <v>0</v>
      </c>
    </row>
    <row r="121" spans="1:32" s="107" customFormat="1" ht="12.75">
      <c r="A121" s="62"/>
      <c r="B121" s="89" t="s">
        <v>345</v>
      </c>
      <c r="C121" s="96" t="e">
        <f>(C116+C118+C117)*C104</f>
        <v>#DIV/0!</v>
      </c>
      <c r="D121" s="96">
        <v>0</v>
      </c>
      <c r="E121" s="96">
        <v>0</v>
      </c>
      <c r="F121" s="96">
        <v>0</v>
      </c>
      <c r="G121" s="96">
        <v>0</v>
      </c>
      <c r="H121" s="96">
        <v>0</v>
      </c>
      <c r="I121" s="96">
        <v>0</v>
      </c>
      <c r="J121" s="96">
        <v>0</v>
      </c>
      <c r="K121" s="96">
        <v>0</v>
      </c>
      <c r="L121" s="96">
        <v>0</v>
      </c>
      <c r="M121" s="96" t="e">
        <f>C121</f>
        <v>#DIV/0!</v>
      </c>
      <c r="N121" s="96">
        <v>0</v>
      </c>
      <c r="O121" s="96">
        <v>0</v>
      </c>
      <c r="P121" s="96">
        <v>0</v>
      </c>
      <c r="Q121" s="96">
        <f>M103</f>
        <v>0</v>
      </c>
      <c r="R121" s="96">
        <v>0</v>
      </c>
      <c r="S121" s="96">
        <v>0</v>
      </c>
      <c r="T121" s="96">
        <v>0</v>
      </c>
      <c r="U121" s="96">
        <v>0</v>
      </c>
      <c r="V121" s="96">
        <v>0</v>
      </c>
      <c r="W121" s="96" t="e">
        <f>M121</f>
        <v>#DIV/0!</v>
      </c>
      <c r="X121" s="96">
        <v>0</v>
      </c>
      <c r="Y121" s="96">
        <v>0</v>
      </c>
      <c r="Z121" s="96">
        <v>0</v>
      </c>
      <c r="AA121" s="96">
        <v>0</v>
      </c>
      <c r="AB121" s="96">
        <v>0</v>
      </c>
      <c r="AC121" s="96">
        <v>0</v>
      </c>
      <c r="AD121" s="96">
        <v>0</v>
      </c>
      <c r="AE121" s="96">
        <v>0</v>
      </c>
      <c r="AF121" s="96">
        <v>0</v>
      </c>
    </row>
    <row r="122" spans="1:33" s="73" customFormat="1" ht="12.75">
      <c r="A122" s="71"/>
      <c r="B122" s="93" t="s">
        <v>346</v>
      </c>
      <c r="C122" s="94" t="e">
        <f aca="true" t="shared" si="27" ref="C122:AF122">C121+C120</f>
        <v>#DIV/0!</v>
      </c>
      <c r="D122" s="94">
        <f t="shared" si="27"/>
        <v>0</v>
      </c>
      <c r="E122" s="94">
        <f t="shared" si="27"/>
        <v>0</v>
      </c>
      <c r="F122" s="94">
        <f t="shared" si="27"/>
        <v>0</v>
      </c>
      <c r="G122" s="94">
        <f t="shared" si="27"/>
        <v>0</v>
      </c>
      <c r="H122" s="94">
        <f t="shared" si="27"/>
        <v>0</v>
      </c>
      <c r="I122" s="94">
        <f t="shared" si="27"/>
        <v>0</v>
      </c>
      <c r="J122" s="94">
        <f t="shared" si="27"/>
        <v>0</v>
      </c>
      <c r="K122" s="94">
        <f t="shared" si="27"/>
        <v>0</v>
      </c>
      <c r="L122" s="94">
        <f t="shared" si="27"/>
        <v>0</v>
      </c>
      <c r="M122" s="94" t="e">
        <f t="shared" si="27"/>
        <v>#DIV/0!</v>
      </c>
      <c r="N122" s="94">
        <f t="shared" si="27"/>
        <v>0</v>
      </c>
      <c r="O122" s="94">
        <f t="shared" si="27"/>
        <v>0</v>
      </c>
      <c r="P122" s="94">
        <f t="shared" si="27"/>
        <v>0</v>
      </c>
      <c r="Q122" s="94">
        <f t="shared" si="27"/>
        <v>0</v>
      </c>
      <c r="R122" s="94">
        <f t="shared" si="27"/>
        <v>0</v>
      </c>
      <c r="S122" s="94">
        <f t="shared" si="27"/>
        <v>0</v>
      </c>
      <c r="T122" s="94">
        <f t="shared" si="27"/>
        <v>0</v>
      </c>
      <c r="U122" s="94">
        <f t="shared" si="27"/>
        <v>0</v>
      </c>
      <c r="V122" s="94">
        <f t="shared" si="27"/>
        <v>0</v>
      </c>
      <c r="W122" s="94" t="e">
        <f t="shared" si="27"/>
        <v>#DIV/0!</v>
      </c>
      <c r="X122" s="94">
        <f t="shared" si="27"/>
        <v>0</v>
      </c>
      <c r="Y122" s="94">
        <f t="shared" si="27"/>
        <v>0</v>
      </c>
      <c r="Z122" s="94">
        <f t="shared" si="27"/>
        <v>0</v>
      </c>
      <c r="AA122" s="94">
        <f t="shared" si="27"/>
        <v>0</v>
      </c>
      <c r="AB122" s="94">
        <f t="shared" si="27"/>
        <v>0</v>
      </c>
      <c r="AC122" s="94">
        <f t="shared" si="27"/>
        <v>0</v>
      </c>
      <c r="AD122" s="94">
        <f t="shared" si="27"/>
        <v>0</v>
      </c>
      <c r="AE122" s="94">
        <f t="shared" si="27"/>
        <v>0</v>
      </c>
      <c r="AF122" s="94">
        <f t="shared" si="27"/>
        <v>0</v>
      </c>
      <c r="AG122" s="107"/>
    </row>
    <row r="123" ht="12.75"/>
    <row r="124" ht="12.75"/>
    <row r="125" spans="1:32" ht="18">
      <c r="A125" s="111"/>
      <c r="B125" s="112" t="s">
        <v>437</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12.75">
      <c r="A126" s="295"/>
      <c r="B126" s="113" t="s">
        <v>351</v>
      </c>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row>
    <row r="127" spans="2:5" ht="12.75">
      <c r="B127" s="39" t="s">
        <v>438</v>
      </c>
      <c r="E127" s="39" t="s">
        <v>339</v>
      </c>
    </row>
    <row r="128" spans="2:6" ht="12.75">
      <c r="B128" s="57" t="s">
        <v>439</v>
      </c>
      <c r="C128" s="281">
        <f>C32</f>
        <v>200</v>
      </c>
      <c r="E128" s="78" t="s">
        <v>605</v>
      </c>
      <c r="F128" s="282" t="e">
        <f>ROUNDUP(C132/C130,0)</f>
        <v>#DIV/0!</v>
      </c>
    </row>
    <row r="129" spans="2:6" ht="12.75">
      <c r="B129" s="57" t="s">
        <v>440</v>
      </c>
      <c r="C129" s="281">
        <f>C101</f>
        <v>1500</v>
      </c>
      <c r="E129" s="78" t="s">
        <v>340</v>
      </c>
      <c r="F129" s="282" t="e">
        <f>ROUNDUP((C132/C130)/250,0)*C130</f>
        <v>#DIV/0!</v>
      </c>
    </row>
    <row r="130" spans="2:6" ht="12.75">
      <c r="B130" s="57" t="s">
        <v>331</v>
      </c>
      <c r="C130" s="282">
        <f>(C33+C102)/2</f>
        <v>0</v>
      </c>
      <c r="E130" s="78"/>
      <c r="F130" s="282"/>
    </row>
    <row r="131" spans="2:6" ht="12.75">
      <c r="B131" s="57" t="s">
        <v>290</v>
      </c>
      <c r="C131" s="282">
        <f>C103+C34</f>
        <v>0</v>
      </c>
      <c r="E131" s="78" t="s">
        <v>338</v>
      </c>
      <c r="F131" s="283" t="e">
        <f>IF(F128&lt;=8,Costs!C20,IF(F128&lt;=32,Costs!C19,IF(F128&lt;=64,Costs!C18,IF(F128&lt;=250,Costs!C17,Costs!C17))))*F129</f>
        <v>#DIV/0!</v>
      </c>
    </row>
    <row r="132" spans="2:6" ht="24">
      <c r="B132" s="77" t="s">
        <v>441</v>
      </c>
      <c r="C132" s="278">
        <f>C104+C35</f>
        <v>0</v>
      </c>
      <c r="E132" s="78" t="s">
        <v>335</v>
      </c>
      <c r="F132" s="283" t="e">
        <f>Costs!C22*F129</f>
        <v>#DIV/0!</v>
      </c>
    </row>
    <row r="133" spans="2:6" ht="12.75">
      <c r="B133" s="57" t="s">
        <v>365</v>
      </c>
      <c r="C133" s="282" t="e">
        <f>C132/(C131*C130)</f>
        <v>#DIV/0!</v>
      </c>
      <c r="E133" s="79" t="s">
        <v>336</v>
      </c>
      <c r="F133" s="283">
        <f>F36</f>
        <v>0</v>
      </c>
    </row>
    <row r="134" spans="2:6" ht="12.75">
      <c r="B134" s="57" t="s">
        <v>442</v>
      </c>
      <c r="C134" s="281">
        <f>Costs!C12</f>
        <v>105</v>
      </c>
      <c r="E134" s="79" t="s">
        <v>341</v>
      </c>
      <c r="F134" s="283" t="e">
        <f>F106+F37</f>
        <v>#DIV/0!</v>
      </c>
    </row>
    <row r="135" spans="2:6" ht="12.75">
      <c r="B135" s="57" t="s">
        <v>443</v>
      </c>
      <c r="C135" s="281">
        <f>Costs!C57</f>
        <v>105</v>
      </c>
      <c r="E135" s="79" t="s">
        <v>368</v>
      </c>
      <c r="F135" s="283" t="e">
        <f>(F131+F132+F133+F134)/C132</f>
        <v>#DIV/0!</v>
      </c>
    </row>
    <row r="137" spans="1:32" s="107" customFormat="1" ht="12.75">
      <c r="A137" s="62"/>
      <c r="B137" s="114" t="s">
        <v>344</v>
      </c>
      <c r="C137" s="115">
        <f>(C109+C40)</f>
        <v>0</v>
      </c>
      <c r="D137" s="115">
        <f>(D109+D40)</f>
        <v>0</v>
      </c>
      <c r="E137" s="115">
        <f aca="true" t="shared" si="28" ref="E137:AF137">D137</f>
        <v>0</v>
      </c>
      <c r="F137" s="115">
        <f t="shared" si="28"/>
        <v>0</v>
      </c>
      <c r="G137" s="115">
        <f t="shared" si="28"/>
        <v>0</v>
      </c>
      <c r="H137" s="115">
        <f t="shared" si="28"/>
        <v>0</v>
      </c>
      <c r="I137" s="115">
        <f t="shared" si="28"/>
        <v>0</v>
      </c>
      <c r="J137" s="115">
        <f t="shared" si="28"/>
        <v>0</v>
      </c>
      <c r="K137" s="115">
        <f t="shared" si="28"/>
        <v>0</v>
      </c>
      <c r="L137" s="115">
        <f t="shared" si="28"/>
        <v>0</v>
      </c>
      <c r="M137" s="115">
        <f t="shared" si="28"/>
        <v>0</v>
      </c>
      <c r="N137" s="115">
        <f t="shared" si="28"/>
        <v>0</v>
      </c>
      <c r="O137" s="115">
        <f t="shared" si="28"/>
        <v>0</v>
      </c>
      <c r="P137" s="115">
        <f t="shared" si="28"/>
        <v>0</v>
      </c>
      <c r="Q137" s="115">
        <f t="shared" si="28"/>
        <v>0</v>
      </c>
      <c r="R137" s="115">
        <f t="shared" si="28"/>
        <v>0</v>
      </c>
      <c r="S137" s="115">
        <f t="shared" si="28"/>
        <v>0</v>
      </c>
      <c r="T137" s="115">
        <f t="shared" si="28"/>
        <v>0</v>
      </c>
      <c r="U137" s="115">
        <f t="shared" si="28"/>
        <v>0</v>
      </c>
      <c r="V137" s="115">
        <f t="shared" si="28"/>
        <v>0</v>
      </c>
      <c r="W137" s="115">
        <f t="shared" si="28"/>
        <v>0</v>
      </c>
      <c r="X137" s="115">
        <f t="shared" si="28"/>
        <v>0</v>
      </c>
      <c r="Y137" s="115">
        <f t="shared" si="28"/>
        <v>0</v>
      </c>
      <c r="Z137" s="115">
        <f t="shared" si="28"/>
        <v>0</v>
      </c>
      <c r="AA137" s="115">
        <f t="shared" si="28"/>
        <v>0</v>
      </c>
      <c r="AB137" s="115">
        <f t="shared" si="28"/>
        <v>0</v>
      </c>
      <c r="AC137" s="115">
        <f t="shared" si="28"/>
        <v>0</v>
      </c>
      <c r="AD137" s="115">
        <f t="shared" si="28"/>
        <v>0</v>
      </c>
      <c r="AE137" s="115">
        <f t="shared" si="28"/>
        <v>0</v>
      </c>
      <c r="AF137" s="115">
        <f t="shared" si="28"/>
        <v>0</v>
      </c>
    </row>
    <row r="138" spans="1:32" s="107" customFormat="1" ht="12.75">
      <c r="A138" s="62"/>
      <c r="B138" s="114" t="s">
        <v>345</v>
      </c>
      <c r="C138" s="115" t="e">
        <f>((C32+C37)*C35)+((C101+C106)*C104)+F135*C132</f>
        <v>#DIV/0!</v>
      </c>
      <c r="D138" s="115">
        <v>0</v>
      </c>
      <c r="E138" s="115">
        <v>0</v>
      </c>
      <c r="F138" s="115">
        <v>0</v>
      </c>
      <c r="G138" s="115">
        <v>0</v>
      </c>
      <c r="H138" s="115">
        <v>0</v>
      </c>
      <c r="I138" s="115">
        <v>0</v>
      </c>
      <c r="J138" s="115">
        <v>0</v>
      </c>
      <c r="K138" s="115">
        <v>0</v>
      </c>
      <c r="L138" s="115">
        <v>0</v>
      </c>
      <c r="M138" s="115" t="e">
        <f>((C128+Costs!C130+F135)*C132)-(F133/C132)</f>
        <v>#DIV/0!</v>
      </c>
      <c r="N138" s="115">
        <v>0</v>
      </c>
      <c r="O138" s="115">
        <v>0</v>
      </c>
      <c r="P138" s="115">
        <v>0</v>
      </c>
      <c r="Q138" s="115">
        <f>Q110+Q41</f>
        <v>50</v>
      </c>
      <c r="R138" s="115">
        <v>0</v>
      </c>
      <c r="S138" s="115">
        <v>0</v>
      </c>
      <c r="T138" s="115">
        <v>0</v>
      </c>
      <c r="U138" s="115">
        <v>0</v>
      </c>
      <c r="V138" s="115">
        <v>0</v>
      </c>
      <c r="W138" s="115" t="e">
        <f>M138</f>
        <v>#DIV/0!</v>
      </c>
      <c r="X138" s="115">
        <v>0</v>
      </c>
      <c r="Y138" s="115">
        <v>0</v>
      </c>
      <c r="Z138" s="115">
        <v>0</v>
      </c>
      <c r="AA138" s="115">
        <v>0</v>
      </c>
      <c r="AB138" s="115">
        <v>0</v>
      </c>
      <c r="AC138" s="115">
        <v>0</v>
      </c>
      <c r="AD138" s="115">
        <v>0</v>
      </c>
      <c r="AE138" s="115">
        <v>0</v>
      </c>
      <c r="AF138" s="115">
        <v>0</v>
      </c>
    </row>
    <row r="139" spans="1:32" s="73" customFormat="1" ht="12.75">
      <c r="A139" s="71"/>
      <c r="B139" s="116" t="s">
        <v>346</v>
      </c>
      <c r="C139" s="117" t="e">
        <f>C138+C137</f>
        <v>#DIV/0!</v>
      </c>
      <c r="D139" s="117">
        <f aca="true" t="shared" si="29" ref="D139:AF139">D138+D137</f>
        <v>0</v>
      </c>
      <c r="E139" s="117">
        <f t="shared" si="29"/>
        <v>0</v>
      </c>
      <c r="F139" s="117">
        <f t="shared" si="29"/>
        <v>0</v>
      </c>
      <c r="G139" s="117">
        <f t="shared" si="29"/>
        <v>0</v>
      </c>
      <c r="H139" s="117">
        <f t="shared" si="29"/>
        <v>0</v>
      </c>
      <c r="I139" s="117">
        <f t="shared" si="29"/>
        <v>0</v>
      </c>
      <c r="J139" s="117">
        <f t="shared" si="29"/>
        <v>0</v>
      </c>
      <c r="K139" s="117">
        <f t="shared" si="29"/>
        <v>0</v>
      </c>
      <c r="L139" s="117">
        <f t="shared" si="29"/>
        <v>0</v>
      </c>
      <c r="M139" s="117" t="e">
        <f t="shared" si="29"/>
        <v>#DIV/0!</v>
      </c>
      <c r="N139" s="117">
        <f t="shared" si="29"/>
        <v>0</v>
      </c>
      <c r="O139" s="117">
        <f t="shared" si="29"/>
        <v>0</v>
      </c>
      <c r="P139" s="117">
        <f t="shared" si="29"/>
        <v>0</v>
      </c>
      <c r="Q139" s="117">
        <f t="shared" si="29"/>
        <v>50</v>
      </c>
      <c r="R139" s="117">
        <f t="shared" si="29"/>
        <v>0</v>
      </c>
      <c r="S139" s="117">
        <f t="shared" si="29"/>
        <v>0</v>
      </c>
      <c r="T139" s="117">
        <f t="shared" si="29"/>
        <v>0</v>
      </c>
      <c r="U139" s="117">
        <f t="shared" si="29"/>
        <v>0</v>
      </c>
      <c r="V139" s="117">
        <f t="shared" si="29"/>
        <v>0</v>
      </c>
      <c r="W139" s="117" t="e">
        <f t="shared" si="29"/>
        <v>#DIV/0!</v>
      </c>
      <c r="X139" s="117">
        <f t="shared" si="29"/>
        <v>0</v>
      </c>
      <c r="Y139" s="117">
        <f t="shared" si="29"/>
        <v>0</v>
      </c>
      <c r="Z139" s="117">
        <f t="shared" si="29"/>
        <v>0</v>
      </c>
      <c r="AA139" s="117">
        <f t="shared" si="29"/>
        <v>0</v>
      </c>
      <c r="AB139" s="117">
        <f t="shared" si="29"/>
        <v>0</v>
      </c>
      <c r="AC139" s="117">
        <f t="shared" si="29"/>
        <v>0</v>
      </c>
      <c r="AD139" s="117">
        <f t="shared" si="29"/>
        <v>0</v>
      </c>
      <c r="AE139" s="117">
        <f t="shared" si="29"/>
        <v>0</v>
      </c>
      <c r="AF139" s="117">
        <f t="shared" si="29"/>
        <v>0</v>
      </c>
    </row>
    <row r="141" spans="1:32" ht="12.75">
      <c r="A141" s="295"/>
      <c r="B141" s="113" t="s">
        <v>352</v>
      </c>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row>
    <row r="142" spans="1:32" s="107" customFormat="1" ht="12.75">
      <c r="A142" s="62"/>
      <c r="B142" s="114" t="s">
        <v>344</v>
      </c>
      <c r="C142" s="115">
        <f>(C120+C51)</f>
        <v>0</v>
      </c>
      <c r="D142" s="115">
        <f>(D120+D51)</f>
        <v>0</v>
      </c>
      <c r="E142" s="115">
        <f aca="true" t="shared" si="30" ref="E142:AF142">D142</f>
        <v>0</v>
      </c>
      <c r="F142" s="115">
        <f t="shared" si="30"/>
        <v>0</v>
      </c>
      <c r="G142" s="115">
        <f t="shared" si="30"/>
        <v>0</v>
      </c>
      <c r="H142" s="115">
        <f t="shared" si="30"/>
        <v>0</v>
      </c>
      <c r="I142" s="115">
        <f t="shared" si="30"/>
        <v>0</v>
      </c>
      <c r="J142" s="115">
        <f t="shared" si="30"/>
        <v>0</v>
      </c>
      <c r="K142" s="115">
        <f t="shared" si="30"/>
        <v>0</v>
      </c>
      <c r="L142" s="115">
        <f t="shared" si="30"/>
        <v>0</v>
      </c>
      <c r="M142" s="115">
        <f t="shared" si="30"/>
        <v>0</v>
      </c>
      <c r="N142" s="115">
        <f t="shared" si="30"/>
        <v>0</v>
      </c>
      <c r="O142" s="115">
        <f t="shared" si="30"/>
        <v>0</v>
      </c>
      <c r="P142" s="115">
        <f t="shared" si="30"/>
        <v>0</v>
      </c>
      <c r="Q142" s="115">
        <f t="shared" si="30"/>
        <v>0</v>
      </c>
      <c r="R142" s="115">
        <f t="shared" si="30"/>
        <v>0</v>
      </c>
      <c r="S142" s="115">
        <f t="shared" si="30"/>
        <v>0</v>
      </c>
      <c r="T142" s="115">
        <f t="shared" si="30"/>
        <v>0</v>
      </c>
      <c r="U142" s="115">
        <f t="shared" si="30"/>
        <v>0</v>
      </c>
      <c r="V142" s="115">
        <f t="shared" si="30"/>
        <v>0</v>
      </c>
      <c r="W142" s="115">
        <f t="shared" si="30"/>
        <v>0</v>
      </c>
      <c r="X142" s="115">
        <f t="shared" si="30"/>
        <v>0</v>
      </c>
      <c r="Y142" s="115">
        <f t="shared" si="30"/>
        <v>0</v>
      </c>
      <c r="Z142" s="115">
        <f t="shared" si="30"/>
        <v>0</v>
      </c>
      <c r="AA142" s="115">
        <f t="shared" si="30"/>
        <v>0</v>
      </c>
      <c r="AB142" s="115">
        <f t="shared" si="30"/>
        <v>0</v>
      </c>
      <c r="AC142" s="115">
        <f t="shared" si="30"/>
        <v>0</v>
      </c>
      <c r="AD142" s="115">
        <f t="shared" si="30"/>
        <v>0</v>
      </c>
      <c r="AE142" s="115">
        <f t="shared" si="30"/>
        <v>0</v>
      </c>
      <c r="AF142" s="115">
        <f t="shared" si="30"/>
        <v>0</v>
      </c>
    </row>
    <row r="143" spans="1:32" s="107" customFormat="1" ht="12.75">
      <c r="A143" s="62"/>
      <c r="B143" s="114" t="s">
        <v>345</v>
      </c>
      <c r="C143" s="115" t="e">
        <f>((C116+C118)*C104)+((C47+C49)*C35)+F135*C133</f>
        <v>#DIV/0!</v>
      </c>
      <c r="D143" s="115">
        <v>0</v>
      </c>
      <c r="E143" s="115">
        <v>0</v>
      </c>
      <c r="F143" s="115">
        <v>0</v>
      </c>
      <c r="G143" s="115">
        <v>0</v>
      </c>
      <c r="H143" s="115">
        <v>0</v>
      </c>
      <c r="I143" s="115">
        <v>0</v>
      </c>
      <c r="J143" s="115">
        <v>0</v>
      </c>
      <c r="K143" s="115">
        <v>0</v>
      </c>
      <c r="L143" s="115">
        <v>0</v>
      </c>
      <c r="M143" s="115" t="e">
        <f>C143</f>
        <v>#DIV/0!</v>
      </c>
      <c r="N143" s="115">
        <v>0</v>
      </c>
      <c r="O143" s="115">
        <v>0</v>
      </c>
      <c r="P143" s="115">
        <v>0</v>
      </c>
      <c r="Q143" s="115">
        <f>Q121+Q52</f>
        <v>50</v>
      </c>
      <c r="R143" s="115">
        <v>0</v>
      </c>
      <c r="S143" s="115">
        <v>0</v>
      </c>
      <c r="T143" s="115">
        <v>0</v>
      </c>
      <c r="U143" s="115">
        <v>0</v>
      </c>
      <c r="V143" s="115">
        <v>0</v>
      </c>
      <c r="W143" s="115" t="e">
        <f>M143</f>
        <v>#DIV/0!</v>
      </c>
      <c r="X143" s="115">
        <v>0</v>
      </c>
      <c r="Y143" s="115">
        <v>0</v>
      </c>
      <c r="Z143" s="115">
        <v>0</v>
      </c>
      <c r="AA143" s="115">
        <v>0</v>
      </c>
      <c r="AB143" s="115">
        <v>0</v>
      </c>
      <c r="AC143" s="115">
        <v>0</v>
      </c>
      <c r="AD143" s="115">
        <v>0</v>
      </c>
      <c r="AE143" s="115">
        <v>0</v>
      </c>
      <c r="AF143" s="115">
        <v>0</v>
      </c>
    </row>
    <row r="144" spans="1:33" s="73" customFormat="1" ht="12.75">
      <c r="A144" s="71"/>
      <c r="B144" s="116" t="s">
        <v>346</v>
      </c>
      <c r="C144" s="117" t="e">
        <f>C143+C142</f>
        <v>#DIV/0!</v>
      </c>
      <c r="D144" s="117">
        <f aca="true" t="shared" si="31" ref="D144:AF144">D143+D142</f>
        <v>0</v>
      </c>
      <c r="E144" s="117">
        <f t="shared" si="31"/>
        <v>0</v>
      </c>
      <c r="F144" s="117">
        <f t="shared" si="31"/>
        <v>0</v>
      </c>
      <c r="G144" s="117">
        <f t="shared" si="31"/>
        <v>0</v>
      </c>
      <c r="H144" s="117">
        <f t="shared" si="31"/>
        <v>0</v>
      </c>
      <c r="I144" s="117">
        <f t="shared" si="31"/>
        <v>0</v>
      </c>
      <c r="J144" s="117">
        <f t="shared" si="31"/>
        <v>0</v>
      </c>
      <c r="K144" s="117">
        <f t="shared" si="31"/>
        <v>0</v>
      </c>
      <c r="L144" s="117">
        <f t="shared" si="31"/>
        <v>0</v>
      </c>
      <c r="M144" s="117" t="e">
        <f t="shared" si="31"/>
        <v>#DIV/0!</v>
      </c>
      <c r="N144" s="117">
        <f t="shared" si="31"/>
        <v>0</v>
      </c>
      <c r="O144" s="117">
        <f t="shared" si="31"/>
        <v>0</v>
      </c>
      <c r="P144" s="117">
        <f t="shared" si="31"/>
        <v>0</v>
      </c>
      <c r="Q144" s="117">
        <f t="shared" si="31"/>
        <v>50</v>
      </c>
      <c r="R144" s="117">
        <f t="shared" si="31"/>
        <v>0</v>
      </c>
      <c r="S144" s="117">
        <f t="shared" si="31"/>
        <v>0</v>
      </c>
      <c r="T144" s="117">
        <f t="shared" si="31"/>
        <v>0</v>
      </c>
      <c r="U144" s="117">
        <f t="shared" si="31"/>
        <v>0</v>
      </c>
      <c r="V144" s="117">
        <f t="shared" si="31"/>
        <v>0</v>
      </c>
      <c r="W144" s="117" t="e">
        <f t="shared" si="31"/>
        <v>#DIV/0!</v>
      </c>
      <c r="X144" s="117">
        <f t="shared" si="31"/>
        <v>0</v>
      </c>
      <c r="Y144" s="117">
        <f t="shared" si="31"/>
        <v>0</v>
      </c>
      <c r="Z144" s="117">
        <f t="shared" si="31"/>
        <v>0</v>
      </c>
      <c r="AA144" s="117">
        <f t="shared" si="31"/>
        <v>0</v>
      </c>
      <c r="AB144" s="117">
        <f t="shared" si="31"/>
        <v>0</v>
      </c>
      <c r="AC144" s="117">
        <f t="shared" si="31"/>
        <v>0</v>
      </c>
      <c r="AD144" s="117">
        <f t="shared" si="31"/>
        <v>0</v>
      </c>
      <c r="AE144" s="117">
        <f t="shared" si="31"/>
        <v>0</v>
      </c>
      <c r="AF144" s="117">
        <f t="shared" si="31"/>
        <v>0</v>
      </c>
      <c r="AG144" s="107"/>
    </row>
    <row r="148" spans="2:32" ht="20.25">
      <c r="B148" s="95" t="s">
        <v>315</v>
      </c>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row>
    <row r="149" s="42" customFormat="1" ht="12.75">
      <c r="B149" s="43"/>
    </row>
    <row r="150" spans="2:3" s="42" customFormat="1" ht="12.75">
      <c r="B150" s="43" t="s">
        <v>541</v>
      </c>
      <c r="C150" s="297">
        <f>Assumptions!D20</f>
        <v>0.09</v>
      </c>
    </row>
    <row r="151" s="42" customFormat="1" ht="12.75">
      <c r="B151" s="43"/>
    </row>
    <row r="152" ht="12.75">
      <c r="B152" s="81" t="s">
        <v>360</v>
      </c>
    </row>
    <row r="153" spans="2:32" ht="12.75">
      <c r="B153" s="82" t="s">
        <v>347</v>
      </c>
      <c r="C153" s="298" t="e">
        <f aca="true" t="shared" si="32" ref="C153:AF153">C28-C42</f>
        <v>#N/A</v>
      </c>
      <c r="D153" s="298" t="e">
        <f t="shared" si="32"/>
        <v>#N/A</v>
      </c>
      <c r="E153" s="298" t="e">
        <f t="shared" si="32"/>
        <v>#N/A</v>
      </c>
      <c r="F153" s="298" t="e">
        <f t="shared" si="32"/>
        <v>#N/A</v>
      </c>
      <c r="G153" s="298" t="e">
        <f t="shared" si="32"/>
        <v>#N/A</v>
      </c>
      <c r="H153" s="298" t="e">
        <f t="shared" si="32"/>
        <v>#N/A</v>
      </c>
      <c r="I153" s="298" t="e">
        <f t="shared" si="32"/>
        <v>#N/A</v>
      </c>
      <c r="J153" s="298" t="e">
        <f t="shared" si="32"/>
        <v>#N/A</v>
      </c>
      <c r="K153" s="298" t="e">
        <f t="shared" si="32"/>
        <v>#N/A</v>
      </c>
      <c r="L153" s="298" t="e">
        <f t="shared" si="32"/>
        <v>#N/A</v>
      </c>
      <c r="M153" s="298" t="e">
        <f t="shared" si="32"/>
        <v>#N/A</v>
      </c>
      <c r="N153" s="298" t="e">
        <f t="shared" si="32"/>
        <v>#N/A</v>
      </c>
      <c r="O153" s="298" t="e">
        <f t="shared" si="32"/>
        <v>#N/A</v>
      </c>
      <c r="P153" s="298" t="e">
        <f t="shared" si="32"/>
        <v>#N/A</v>
      </c>
      <c r="Q153" s="298" t="e">
        <f t="shared" si="32"/>
        <v>#N/A</v>
      </c>
      <c r="R153" s="298" t="e">
        <f t="shared" si="32"/>
        <v>#N/A</v>
      </c>
      <c r="S153" s="298" t="e">
        <f t="shared" si="32"/>
        <v>#N/A</v>
      </c>
      <c r="T153" s="298" t="e">
        <f t="shared" si="32"/>
        <v>#N/A</v>
      </c>
      <c r="U153" s="298" t="e">
        <f t="shared" si="32"/>
        <v>#N/A</v>
      </c>
      <c r="V153" s="298" t="e">
        <f t="shared" si="32"/>
        <v>#N/A</v>
      </c>
      <c r="W153" s="298" t="e">
        <f t="shared" si="32"/>
        <v>#N/A</v>
      </c>
      <c r="X153" s="298" t="e">
        <f t="shared" si="32"/>
        <v>#N/A</v>
      </c>
      <c r="Y153" s="298" t="e">
        <f t="shared" si="32"/>
        <v>#N/A</v>
      </c>
      <c r="Z153" s="298" t="e">
        <f t="shared" si="32"/>
        <v>#N/A</v>
      </c>
      <c r="AA153" s="298" t="e">
        <f t="shared" si="32"/>
        <v>#N/A</v>
      </c>
      <c r="AB153" s="298" t="e">
        <f t="shared" si="32"/>
        <v>#N/A</v>
      </c>
      <c r="AC153" s="298" t="e">
        <f t="shared" si="32"/>
        <v>#N/A</v>
      </c>
      <c r="AD153" s="298" t="e">
        <f t="shared" si="32"/>
        <v>#N/A</v>
      </c>
      <c r="AE153" s="298" t="e">
        <f t="shared" si="32"/>
        <v>#N/A</v>
      </c>
      <c r="AF153" s="298" t="e">
        <f t="shared" si="32"/>
        <v>#N/A</v>
      </c>
    </row>
    <row r="154" spans="2:32" ht="12.75">
      <c r="B154" s="83" t="s">
        <v>348</v>
      </c>
      <c r="C154" s="299">
        <f aca="true" t="shared" si="33" ref="C154:AF154">1/(1+($C$150))^(C10-1)</f>
        <v>1</v>
      </c>
      <c r="D154" s="299">
        <f t="shared" si="33"/>
        <v>0.9174311926605504</v>
      </c>
      <c r="E154" s="299">
        <f t="shared" si="33"/>
        <v>0.84167999326656</v>
      </c>
      <c r="F154" s="299">
        <f t="shared" si="33"/>
        <v>0.7721834800610642</v>
      </c>
      <c r="G154" s="299">
        <f t="shared" si="33"/>
        <v>0.7084252110651964</v>
      </c>
      <c r="H154" s="299">
        <f t="shared" si="33"/>
        <v>0.6499313862983452</v>
      </c>
      <c r="I154" s="299">
        <f t="shared" si="33"/>
        <v>0.5962673268792158</v>
      </c>
      <c r="J154" s="299">
        <f t="shared" si="33"/>
        <v>0.5470342448433173</v>
      </c>
      <c r="K154" s="299">
        <f t="shared" si="33"/>
        <v>0.5018662796727681</v>
      </c>
      <c r="L154" s="299">
        <f t="shared" si="33"/>
        <v>0.460427779516301</v>
      </c>
      <c r="M154" s="299">
        <f t="shared" si="33"/>
        <v>0.42241080689568894</v>
      </c>
      <c r="N154" s="299">
        <f t="shared" si="33"/>
        <v>0.3875328503630174</v>
      </c>
      <c r="O154" s="299">
        <f t="shared" si="33"/>
        <v>0.35553472510368567</v>
      </c>
      <c r="P154" s="299">
        <f t="shared" si="33"/>
        <v>0.32617864688411524</v>
      </c>
      <c r="Q154" s="299">
        <f t="shared" si="33"/>
        <v>0.29924646503129837</v>
      </c>
      <c r="R154" s="299">
        <f t="shared" si="33"/>
        <v>0.27453804131311776</v>
      </c>
      <c r="S154" s="299">
        <f t="shared" si="33"/>
        <v>0.2518697626725851</v>
      </c>
      <c r="T154" s="299">
        <f t="shared" si="33"/>
        <v>0.23107317676383954</v>
      </c>
      <c r="U154" s="299">
        <f t="shared" si="33"/>
        <v>0.21199374015031147</v>
      </c>
      <c r="V154" s="299">
        <f t="shared" si="33"/>
        <v>0.19448966986267105</v>
      </c>
      <c r="W154" s="299">
        <f t="shared" si="33"/>
        <v>0.17843088978226704</v>
      </c>
      <c r="X154" s="299">
        <f t="shared" si="33"/>
        <v>0.16369806402042844</v>
      </c>
      <c r="Y154" s="299">
        <f t="shared" si="33"/>
        <v>0.1501817101104848</v>
      </c>
      <c r="Z154" s="299">
        <f t="shared" si="33"/>
        <v>0.13778138542246313</v>
      </c>
      <c r="AA154" s="299">
        <f t="shared" si="33"/>
        <v>0.12640494075455333</v>
      </c>
      <c r="AB154" s="299">
        <f t="shared" si="33"/>
        <v>0.11596783555463605</v>
      </c>
      <c r="AC154" s="299">
        <f t="shared" si="33"/>
        <v>0.10639250968315234</v>
      </c>
      <c r="AD154" s="299">
        <f t="shared" si="33"/>
        <v>0.09760780704876361</v>
      </c>
      <c r="AE154" s="299">
        <f t="shared" si="33"/>
        <v>0.08954844683372809</v>
      </c>
      <c r="AF154" s="299">
        <f t="shared" si="33"/>
        <v>0.08215453837956704</v>
      </c>
    </row>
    <row r="155" spans="2:32" ht="12.75">
      <c r="B155" s="84" t="s">
        <v>349</v>
      </c>
      <c r="C155" s="300" t="e">
        <f aca="true" t="shared" si="34" ref="C155:AF155">C153*C154</f>
        <v>#N/A</v>
      </c>
      <c r="D155" s="300" t="e">
        <f t="shared" si="34"/>
        <v>#N/A</v>
      </c>
      <c r="E155" s="300" t="e">
        <f t="shared" si="34"/>
        <v>#N/A</v>
      </c>
      <c r="F155" s="300" t="e">
        <f t="shared" si="34"/>
        <v>#N/A</v>
      </c>
      <c r="G155" s="300" t="e">
        <f t="shared" si="34"/>
        <v>#N/A</v>
      </c>
      <c r="H155" s="300" t="e">
        <f t="shared" si="34"/>
        <v>#N/A</v>
      </c>
      <c r="I155" s="300" t="e">
        <f t="shared" si="34"/>
        <v>#N/A</v>
      </c>
      <c r="J155" s="300" t="e">
        <f t="shared" si="34"/>
        <v>#N/A</v>
      </c>
      <c r="K155" s="300" t="e">
        <f t="shared" si="34"/>
        <v>#N/A</v>
      </c>
      <c r="L155" s="300" t="e">
        <f t="shared" si="34"/>
        <v>#N/A</v>
      </c>
      <c r="M155" s="300" t="e">
        <f t="shared" si="34"/>
        <v>#N/A</v>
      </c>
      <c r="N155" s="300" t="e">
        <f t="shared" si="34"/>
        <v>#N/A</v>
      </c>
      <c r="O155" s="300" t="e">
        <f t="shared" si="34"/>
        <v>#N/A</v>
      </c>
      <c r="P155" s="300" t="e">
        <f t="shared" si="34"/>
        <v>#N/A</v>
      </c>
      <c r="Q155" s="300" t="e">
        <f t="shared" si="34"/>
        <v>#N/A</v>
      </c>
      <c r="R155" s="300" t="e">
        <f t="shared" si="34"/>
        <v>#N/A</v>
      </c>
      <c r="S155" s="300" t="e">
        <f t="shared" si="34"/>
        <v>#N/A</v>
      </c>
      <c r="T155" s="300" t="e">
        <f t="shared" si="34"/>
        <v>#N/A</v>
      </c>
      <c r="U155" s="300" t="e">
        <f t="shared" si="34"/>
        <v>#N/A</v>
      </c>
      <c r="V155" s="300" t="e">
        <f t="shared" si="34"/>
        <v>#N/A</v>
      </c>
      <c r="W155" s="300" t="e">
        <f t="shared" si="34"/>
        <v>#N/A</v>
      </c>
      <c r="X155" s="300" t="e">
        <f t="shared" si="34"/>
        <v>#N/A</v>
      </c>
      <c r="Y155" s="300" t="e">
        <f t="shared" si="34"/>
        <v>#N/A</v>
      </c>
      <c r="Z155" s="300" t="e">
        <f t="shared" si="34"/>
        <v>#N/A</v>
      </c>
      <c r="AA155" s="300" t="e">
        <f t="shared" si="34"/>
        <v>#N/A</v>
      </c>
      <c r="AB155" s="300" t="e">
        <f t="shared" si="34"/>
        <v>#N/A</v>
      </c>
      <c r="AC155" s="300" t="e">
        <f t="shared" si="34"/>
        <v>#N/A</v>
      </c>
      <c r="AD155" s="300" t="e">
        <f t="shared" si="34"/>
        <v>#N/A</v>
      </c>
      <c r="AE155" s="300" t="e">
        <f t="shared" si="34"/>
        <v>#N/A</v>
      </c>
      <c r="AF155" s="300" t="e">
        <f t="shared" si="34"/>
        <v>#N/A</v>
      </c>
    </row>
    <row r="156" spans="2:32" ht="12.75">
      <c r="B156" s="85" t="s">
        <v>226</v>
      </c>
      <c r="C156" s="86" t="e">
        <f>SUM(C155:L155)</f>
        <v>#N/A</v>
      </c>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row>
    <row r="157" ht="12.75">
      <c r="B157" s="81" t="s">
        <v>361</v>
      </c>
    </row>
    <row r="158" spans="2:32" ht="12.75">
      <c r="B158" s="82" t="s">
        <v>347</v>
      </c>
      <c r="C158" s="298" t="e">
        <f aca="true" t="shared" si="35" ref="C158:AF158">C28-C53</f>
        <v>#N/A</v>
      </c>
      <c r="D158" s="298" t="e">
        <f t="shared" si="35"/>
        <v>#N/A</v>
      </c>
      <c r="E158" s="298" t="e">
        <f t="shared" si="35"/>
        <v>#N/A</v>
      </c>
      <c r="F158" s="298" t="e">
        <f t="shared" si="35"/>
        <v>#N/A</v>
      </c>
      <c r="G158" s="298" t="e">
        <f t="shared" si="35"/>
        <v>#N/A</v>
      </c>
      <c r="H158" s="298" t="e">
        <f t="shared" si="35"/>
        <v>#N/A</v>
      </c>
      <c r="I158" s="298" t="e">
        <f t="shared" si="35"/>
        <v>#N/A</v>
      </c>
      <c r="J158" s="298" t="e">
        <f t="shared" si="35"/>
        <v>#N/A</v>
      </c>
      <c r="K158" s="298" t="e">
        <f t="shared" si="35"/>
        <v>#N/A</v>
      </c>
      <c r="L158" s="298" t="e">
        <f t="shared" si="35"/>
        <v>#N/A</v>
      </c>
      <c r="M158" s="298" t="e">
        <f t="shared" si="35"/>
        <v>#N/A</v>
      </c>
      <c r="N158" s="298" t="e">
        <f t="shared" si="35"/>
        <v>#N/A</v>
      </c>
      <c r="O158" s="298" t="e">
        <f t="shared" si="35"/>
        <v>#N/A</v>
      </c>
      <c r="P158" s="298" t="e">
        <f t="shared" si="35"/>
        <v>#N/A</v>
      </c>
      <c r="Q158" s="298" t="e">
        <f t="shared" si="35"/>
        <v>#N/A</v>
      </c>
      <c r="R158" s="298" t="e">
        <f t="shared" si="35"/>
        <v>#N/A</v>
      </c>
      <c r="S158" s="298" t="e">
        <f t="shared" si="35"/>
        <v>#N/A</v>
      </c>
      <c r="T158" s="298" t="e">
        <f t="shared" si="35"/>
        <v>#N/A</v>
      </c>
      <c r="U158" s="298" t="e">
        <f t="shared" si="35"/>
        <v>#N/A</v>
      </c>
      <c r="V158" s="298" t="e">
        <f t="shared" si="35"/>
        <v>#N/A</v>
      </c>
      <c r="W158" s="298" t="e">
        <f t="shared" si="35"/>
        <v>#N/A</v>
      </c>
      <c r="X158" s="298" t="e">
        <f t="shared" si="35"/>
        <v>#N/A</v>
      </c>
      <c r="Y158" s="298" t="e">
        <f t="shared" si="35"/>
        <v>#N/A</v>
      </c>
      <c r="Z158" s="298" t="e">
        <f t="shared" si="35"/>
        <v>#N/A</v>
      </c>
      <c r="AA158" s="298" t="e">
        <f t="shared" si="35"/>
        <v>#N/A</v>
      </c>
      <c r="AB158" s="298" t="e">
        <f t="shared" si="35"/>
        <v>#N/A</v>
      </c>
      <c r="AC158" s="298" t="e">
        <f t="shared" si="35"/>
        <v>#N/A</v>
      </c>
      <c r="AD158" s="298" t="e">
        <f t="shared" si="35"/>
        <v>#N/A</v>
      </c>
      <c r="AE158" s="298" t="e">
        <f t="shared" si="35"/>
        <v>#N/A</v>
      </c>
      <c r="AF158" s="298" t="e">
        <f t="shared" si="35"/>
        <v>#N/A</v>
      </c>
    </row>
    <row r="159" spans="2:32" ht="12.75">
      <c r="B159" s="83" t="s">
        <v>348</v>
      </c>
      <c r="C159" s="299">
        <f aca="true" t="shared" si="36" ref="C159:AF159">1/(1+($C$150))^(C10-1)</f>
        <v>1</v>
      </c>
      <c r="D159" s="299">
        <f t="shared" si="36"/>
        <v>0.9174311926605504</v>
      </c>
      <c r="E159" s="299">
        <f t="shared" si="36"/>
        <v>0.84167999326656</v>
      </c>
      <c r="F159" s="299">
        <f t="shared" si="36"/>
        <v>0.7721834800610642</v>
      </c>
      <c r="G159" s="299">
        <f t="shared" si="36"/>
        <v>0.7084252110651964</v>
      </c>
      <c r="H159" s="299">
        <f t="shared" si="36"/>
        <v>0.6499313862983452</v>
      </c>
      <c r="I159" s="299">
        <f t="shared" si="36"/>
        <v>0.5962673268792158</v>
      </c>
      <c r="J159" s="299">
        <f t="shared" si="36"/>
        <v>0.5470342448433173</v>
      </c>
      <c r="K159" s="299">
        <f t="shared" si="36"/>
        <v>0.5018662796727681</v>
      </c>
      <c r="L159" s="299">
        <f t="shared" si="36"/>
        <v>0.460427779516301</v>
      </c>
      <c r="M159" s="299">
        <f t="shared" si="36"/>
        <v>0.42241080689568894</v>
      </c>
      <c r="N159" s="299">
        <f t="shared" si="36"/>
        <v>0.3875328503630174</v>
      </c>
      <c r="O159" s="299">
        <f t="shared" si="36"/>
        <v>0.35553472510368567</v>
      </c>
      <c r="P159" s="299">
        <f t="shared" si="36"/>
        <v>0.32617864688411524</v>
      </c>
      <c r="Q159" s="299">
        <f t="shared" si="36"/>
        <v>0.29924646503129837</v>
      </c>
      <c r="R159" s="299">
        <f t="shared" si="36"/>
        <v>0.27453804131311776</v>
      </c>
      <c r="S159" s="299">
        <f t="shared" si="36"/>
        <v>0.2518697626725851</v>
      </c>
      <c r="T159" s="299">
        <f t="shared" si="36"/>
        <v>0.23107317676383954</v>
      </c>
      <c r="U159" s="299">
        <f t="shared" si="36"/>
        <v>0.21199374015031147</v>
      </c>
      <c r="V159" s="299">
        <f t="shared" si="36"/>
        <v>0.19448966986267105</v>
      </c>
      <c r="W159" s="299">
        <f t="shared" si="36"/>
        <v>0.17843088978226704</v>
      </c>
      <c r="X159" s="299">
        <f t="shared" si="36"/>
        <v>0.16369806402042844</v>
      </c>
      <c r="Y159" s="299">
        <f t="shared" si="36"/>
        <v>0.1501817101104848</v>
      </c>
      <c r="Z159" s="299">
        <f t="shared" si="36"/>
        <v>0.13778138542246313</v>
      </c>
      <c r="AA159" s="299">
        <f t="shared" si="36"/>
        <v>0.12640494075455333</v>
      </c>
      <c r="AB159" s="299">
        <f t="shared" si="36"/>
        <v>0.11596783555463605</v>
      </c>
      <c r="AC159" s="299">
        <f t="shared" si="36"/>
        <v>0.10639250968315234</v>
      </c>
      <c r="AD159" s="299">
        <f t="shared" si="36"/>
        <v>0.09760780704876361</v>
      </c>
      <c r="AE159" s="299">
        <f t="shared" si="36"/>
        <v>0.08954844683372809</v>
      </c>
      <c r="AF159" s="299">
        <f t="shared" si="36"/>
        <v>0.08215453837956704</v>
      </c>
    </row>
    <row r="160" spans="2:32" ht="12.75">
      <c r="B160" s="84" t="s">
        <v>349</v>
      </c>
      <c r="C160" s="300" t="e">
        <f aca="true" t="shared" si="37" ref="C160:AF160">C158*C159</f>
        <v>#N/A</v>
      </c>
      <c r="D160" s="300" t="e">
        <f t="shared" si="37"/>
        <v>#N/A</v>
      </c>
      <c r="E160" s="300" t="e">
        <f t="shared" si="37"/>
        <v>#N/A</v>
      </c>
      <c r="F160" s="300" t="e">
        <f t="shared" si="37"/>
        <v>#N/A</v>
      </c>
      <c r="G160" s="300" t="e">
        <f t="shared" si="37"/>
        <v>#N/A</v>
      </c>
      <c r="H160" s="300" t="e">
        <f t="shared" si="37"/>
        <v>#N/A</v>
      </c>
      <c r="I160" s="300" t="e">
        <f t="shared" si="37"/>
        <v>#N/A</v>
      </c>
      <c r="J160" s="300" t="e">
        <f t="shared" si="37"/>
        <v>#N/A</v>
      </c>
      <c r="K160" s="300" t="e">
        <f t="shared" si="37"/>
        <v>#N/A</v>
      </c>
      <c r="L160" s="300" t="e">
        <f t="shared" si="37"/>
        <v>#N/A</v>
      </c>
      <c r="M160" s="300" t="e">
        <f t="shared" si="37"/>
        <v>#N/A</v>
      </c>
      <c r="N160" s="300" t="e">
        <f t="shared" si="37"/>
        <v>#N/A</v>
      </c>
      <c r="O160" s="300" t="e">
        <f t="shared" si="37"/>
        <v>#N/A</v>
      </c>
      <c r="P160" s="300" t="e">
        <f t="shared" si="37"/>
        <v>#N/A</v>
      </c>
      <c r="Q160" s="300" t="e">
        <f t="shared" si="37"/>
        <v>#N/A</v>
      </c>
      <c r="R160" s="300" t="e">
        <f t="shared" si="37"/>
        <v>#N/A</v>
      </c>
      <c r="S160" s="300" t="e">
        <f t="shared" si="37"/>
        <v>#N/A</v>
      </c>
      <c r="T160" s="300" t="e">
        <f t="shared" si="37"/>
        <v>#N/A</v>
      </c>
      <c r="U160" s="300" t="e">
        <f t="shared" si="37"/>
        <v>#N/A</v>
      </c>
      <c r="V160" s="300" t="e">
        <f t="shared" si="37"/>
        <v>#N/A</v>
      </c>
      <c r="W160" s="300" t="e">
        <f t="shared" si="37"/>
        <v>#N/A</v>
      </c>
      <c r="X160" s="300" t="e">
        <f t="shared" si="37"/>
        <v>#N/A</v>
      </c>
      <c r="Y160" s="300" t="e">
        <f t="shared" si="37"/>
        <v>#N/A</v>
      </c>
      <c r="Z160" s="300" t="e">
        <f t="shared" si="37"/>
        <v>#N/A</v>
      </c>
      <c r="AA160" s="300" t="e">
        <f t="shared" si="37"/>
        <v>#N/A</v>
      </c>
      <c r="AB160" s="300" t="e">
        <f t="shared" si="37"/>
        <v>#N/A</v>
      </c>
      <c r="AC160" s="300" t="e">
        <f t="shared" si="37"/>
        <v>#N/A</v>
      </c>
      <c r="AD160" s="300" t="e">
        <f t="shared" si="37"/>
        <v>#N/A</v>
      </c>
      <c r="AE160" s="300" t="e">
        <f t="shared" si="37"/>
        <v>#N/A</v>
      </c>
      <c r="AF160" s="300" t="e">
        <f t="shared" si="37"/>
        <v>#N/A</v>
      </c>
    </row>
    <row r="161" spans="2:32" ht="12.75">
      <c r="B161" s="85" t="s">
        <v>226</v>
      </c>
      <c r="C161" s="86" t="e">
        <f>SUM(C160:L160)</f>
        <v>#N/A</v>
      </c>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row>
    <row r="162" s="42" customFormat="1" ht="12.75">
      <c r="B162" s="43"/>
    </row>
    <row r="163" spans="2:3" ht="12.75">
      <c r="B163" s="81" t="s">
        <v>422</v>
      </c>
      <c r="C163" s="296"/>
    </row>
    <row r="164" spans="2:32" ht="12.75">
      <c r="B164" s="82" t="s">
        <v>347</v>
      </c>
      <c r="C164" s="298" t="e">
        <f>C153-(M33*C35)</f>
        <v>#N/A</v>
      </c>
      <c r="D164" s="298" t="e">
        <f aca="true" t="shared" si="38" ref="D164:AF164">D153</f>
        <v>#N/A</v>
      </c>
      <c r="E164" s="298" t="e">
        <f t="shared" si="38"/>
        <v>#N/A</v>
      </c>
      <c r="F164" s="298" t="e">
        <f t="shared" si="38"/>
        <v>#N/A</v>
      </c>
      <c r="G164" s="298" t="e">
        <f t="shared" si="38"/>
        <v>#N/A</v>
      </c>
      <c r="H164" s="298" t="e">
        <f t="shared" si="38"/>
        <v>#N/A</v>
      </c>
      <c r="I164" s="298" t="e">
        <f t="shared" si="38"/>
        <v>#N/A</v>
      </c>
      <c r="J164" s="298" t="e">
        <f t="shared" si="38"/>
        <v>#N/A</v>
      </c>
      <c r="K164" s="298" t="e">
        <f t="shared" si="38"/>
        <v>#N/A</v>
      </c>
      <c r="L164" s="298" t="e">
        <f t="shared" si="38"/>
        <v>#N/A</v>
      </c>
      <c r="M164" s="298" t="e">
        <f t="shared" si="38"/>
        <v>#N/A</v>
      </c>
      <c r="N164" s="298" t="e">
        <f t="shared" si="38"/>
        <v>#N/A</v>
      </c>
      <c r="O164" s="298" t="e">
        <f t="shared" si="38"/>
        <v>#N/A</v>
      </c>
      <c r="P164" s="298" t="e">
        <f t="shared" si="38"/>
        <v>#N/A</v>
      </c>
      <c r="Q164" s="298" t="e">
        <f>Q153-(M34*C35)</f>
        <v>#N/A</v>
      </c>
      <c r="R164" s="298" t="e">
        <f t="shared" si="38"/>
        <v>#N/A</v>
      </c>
      <c r="S164" s="298" t="e">
        <f t="shared" si="38"/>
        <v>#N/A</v>
      </c>
      <c r="T164" s="298" t="e">
        <f t="shared" si="38"/>
        <v>#N/A</v>
      </c>
      <c r="U164" s="298" t="e">
        <f t="shared" si="38"/>
        <v>#N/A</v>
      </c>
      <c r="V164" s="298" t="e">
        <f t="shared" si="38"/>
        <v>#N/A</v>
      </c>
      <c r="W164" s="298" t="e">
        <f t="shared" si="38"/>
        <v>#N/A</v>
      </c>
      <c r="X164" s="298" t="e">
        <f t="shared" si="38"/>
        <v>#N/A</v>
      </c>
      <c r="Y164" s="298" t="e">
        <f t="shared" si="38"/>
        <v>#N/A</v>
      </c>
      <c r="Z164" s="298" t="e">
        <f t="shared" si="38"/>
        <v>#N/A</v>
      </c>
      <c r="AA164" s="298" t="e">
        <f t="shared" si="38"/>
        <v>#N/A</v>
      </c>
      <c r="AB164" s="298" t="e">
        <f t="shared" si="38"/>
        <v>#N/A</v>
      </c>
      <c r="AC164" s="298" t="e">
        <f t="shared" si="38"/>
        <v>#N/A</v>
      </c>
      <c r="AD164" s="298" t="e">
        <f t="shared" si="38"/>
        <v>#N/A</v>
      </c>
      <c r="AE164" s="298" t="e">
        <f t="shared" si="38"/>
        <v>#N/A</v>
      </c>
      <c r="AF164" s="298" t="e">
        <f t="shared" si="38"/>
        <v>#N/A</v>
      </c>
    </row>
    <row r="165" spans="2:32" ht="12.75">
      <c r="B165" s="83" t="s">
        <v>348</v>
      </c>
      <c r="C165" s="299">
        <f aca="true" t="shared" si="39" ref="C165:AF165">1/(1+($C$150))^(C10-1)</f>
        <v>1</v>
      </c>
      <c r="D165" s="299">
        <f t="shared" si="39"/>
        <v>0.9174311926605504</v>
      </c>
      <c r="E165" s="299">
        <f t="shared" si="39"/>
        <v>0.84167999326656</v>
      </c>
      <c r="F165" s="299">
        <f t="shared" si="39"/>
        <v>0.7721834800610642</v>
      </c>
      <c r="G165" s="299">
        <f t="shared" si="39"/>
        <v>0.7084252110651964</v>
      </c>
      <c r="H165" s="299">
        <f t="shared" si="39"/>
        <v>0.6499313862983452</v>
      </c>
      <c r="I165" s="299">
        <f t="shared" si="39"/>
        <v>0.5962673268792158</v>
      </c>
      <c r="J165" s="299">
        <f t="shared" si="39"/>
        <v>0.5470342448433173</v>
      </c>
      <c r="K165" s="299">
        <f t="shared" si="39"/>
        <v>0.5018662796727681</v>
      </c>
      <c r="L165" s="299">
        <f t="shared" si="39"/>
        <v>0.460427779516301</v>
      </c>
      <c r="M165" s="299">
        <f t="shared" si="39"/>
        <v>0.42241080689568894</v>
      </c>
      <c r="N165" s="299">
        <f t="shared" si="39"/>
        <v>0.3875328503630174</v>
      </c>
      <c r="O165" s="299">
        <f t="shared" si="39"/>
        <v>0.35553472510368567</v>
      </c>
      <c r="P165" s="299">
        <f t="shared" si="39"/>
        <v>0.32617864688411524</v>
      </c>
      <c r="Q165" s="299">
        <f t="shared" si="39"/>
        <v>0.29924646503129837</v>
      </c>
      <c r="R165" s="299">
        <f t="shared" si="39"/>
        <v>0.27453804131311776</v>
      </c>
      <c r="S165" s="299">
        <f t="shared" si="39"/>
        <v>0.2518697626725851</v>
      </c>
      <c r="T165" s="299">
        <f t="shared" si="39"/>
        <v>0.23107317676383954</v>
      </c>
      <c r="U165" s="299">
        <f t="shared" si="39"/>
        <v>0.21199374015031147</v>
      </c>
      <c r="V165" s="299">
        <f t="shared" si="39"/>
        <v>0.19448966986267105</v>
      </c>
      <c r="W165" s="299">
        <f t="shared" si="39"/>
        <v>0.17843088978226704</v>
      </c>
      <c r="X165" s="299">
        <f t="shared" si="39"/>
        <v>0.16369806402042844</v>
      </c>
      <c r="Y165" s="299">
        <f t="shared" si="39"/>
        <v>0.1501817101104848</v>
      </c>
      <c r="Z165" s="299">
        <f t="shared" si="39"/>
        <v>0.13778138542246313</v>
      </c>
      <c r="AA165" s="299">
        <f t="shared" si="39"/>
        <v>0.12640494075455333</v>
      </c>
      <c r="AB165" s="299">
        <f t="shared" si="39"/>
        <v>0.11596783555463605</v>
      </c>
      <c r="AC165" s="299">
        <f t="shared" si="39"/>
        <v>0.10639250968315234</v>
      </c>
      <c r="AD165" s="299">
        <f t="shared" si="39"/>
        <v>0.09760780704876361</v>
      </c>
      <c r="AE165" s="299">
        <f t="shared" si="39"/>
        <v>0.08954844683372809</v>
      </c>
      <c r="AF165" s="299">
        <f t="shared" si="39"/>
        <v>0.08215453837956704</v>
      </c>
    </row>
    <row r="166" spans="2:32" ht="12.75">
      <c r="B166" s="84" t="s">
        <v>349</v>
      </c>
      <c r="C166" s="300" t="e">
        <f>C164*C165</f>
        <v>#N/A</v>
      </c>
      <c r="D166" s="300" t="e">
        <f aca="true" t="shared" si="40" ref="D166:AF166">D164*D165</f>
        <v>#N/A</v>
      </c>
      <c r="E166" s="300" t="e">
        <f t="shared" si="40"/>
        <v>#N/A</v>
      </c>
      <c r="F166" s="300" t="e">
        <f t="shared" si="40"/>
        <v>#N/A</v>
      </c>
      <c r="G166" s="300" t="e">
        <f t="shared" si="40"/>
        <v>#N/A</v>
      </c>
      <c r="H166" s="300" t="e">
        <f t="shared" si="40"/>
        <v>#N/A</v>
      </c>
      <c r="I166" s="300" t="e">
        <f t="shared" si="40"/>
        <v>#N/A</v>
      </c>
      <c r="J166" s="300" t="e">
        <f t="shared" si="40"/>
        <v>#N/A</v>
      </c>
      <c r="K166" s="300" t="e">
        <f t="shared" si="40"/>
        <v>#N/A</v>
      </c>
      <c r="L166" s="300" t="e">
        <f t="shared" si="40"/>
        <v>#N/A</v>
      </c>
      <c r="M166" s="300" t="e">
        <f t="shared" si="40"/>
        <v>#N/A</v>
      </c>
      <c r="N166" s="300" t="e">
        <f t="shared" si="40"/>
        <v>#N/A</v>
      </c>
      <c r="O166" s="300" t="e">
        <f t="shared" si="40"/>
        <v>#N/A</v>
      </c>
      <c r="P166" s="300" t="e">
        <f t="shared" si="40"/>
        <v>#N/A</v>
      </c>
      <c r="Q166" s="300" t="e">
        <f t="shared" si="40"/>
        <v>#N/A</v>
      </c>
      <c r="R166" s="300" t="e">
        <f t="shared" si="40"/>
        <v>#N/A</v>
      </c>
      <c r="S166" s="300" t="e">
        <f t="shared" si="40"/>
        <v>#N/A</v>
      </c>
      <c r="T166" s="300" t="e">
        <f t="shared" si="40"/>
        <v>#N/A</v>
      </c>
      <c r="U166" s="300" t="e">
        <f t="shared" si="40"/>
        <v>#N/A</v>
      </c>
      <c r="V166" s="300" t="e">
        <f t="shared" si="40"/>
        <v>#N/A</v>
      </c>
      <c r="W166" s="300" t="e">
        <f t="shared" si="40"/>
        <v>#N/A</v>
      </c>
      <c r="X166" s="300" t="e">
        <f t="shared" si="40"/>
        <v>#N/A</v>
      </c>
      <c r="Y166" s="300" t="e">
        <f t="shared" si="40"/>
        <v>#N/A</v>
      </c>
      <c r="Z166" s="300" t="e">
        <f t="shared" si="40"/>
        <v>#N/A</v>
      </c>
      <c r="AA166" s="300" t="e">
        <f t="shared" si="40"/>
        <v>#N/A</v>
      </c>
      <c r="AB166" s="300" t="e">
        <f t="shared" si="40"/>
        <v>#N/A</v>
      </c>
      <c r="AC166" s="300" t="e">
        <f t="shared" si="40"/>
        <v>#N/A</v>
      </c>
      <c r="AD166" s="300" t="e">
        <f t="shared" si="40"/>
        <v>#N/A</v>
      </c>
      <c r="AE166" s="300" t="e">
        <f t="shared" si="40"/>
        <v>#N/A</v>
      </c>
      <c r="AF166" s="300" t="e">
        <f t="shared" si="40"/>
        <v>#N/A</v>
      </c>
    </row>
    <row r="167" spans="2:32" ht="12.75">
      <c r="B167" s="85" t="s">
        <v>226</v>
      </c>
      <c r="C167" s="86" t="e">
        <f>SUM(C166:L166)</f>
        <v>#N/A</v>
      </c>
      <c r="D167" s="301"/>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1"/>
      <c r="AD167" s="301"/>
      <c r="AE167" s="301"/>
      <c r="AF167" s="301"/>
    </row>
    <row r="168" spans="2:3" ht="12.75">
      <c r="B168" s="81" t="s">
        <v>423</v>
      </c>
      <c r="C168" s="296"/>
    </row>
    <row r="169" spans="2:32" ht="12.75">
      <c r="B169" s="82" t="s">
        <v>347</v>
      </c>
      <c r="C169" s="298" t="e">
        <f>C158-(M33*C35)</f>
        <v>#N/A</v>
      </c>
      <c r="D169" s="298" t="e">
        <f aca="true" t="shared" si="41" ref="D169:AF169">D158</f>
        <v>#N/A</v>
      </c>
      <c r="E169" s="298" t="e">
        <f t="shared" si="41"/>
        <v>#N/A</v>
      </c>
      <c r="F169" s="298" t="e">
        <f t="shared" si="41"/>
        <v>#N/A</v>
      </c>
      <c r="G169" s="298" t="e">
        <f t="shared" si="41"/>
        <v>#N/A</v>
      </c>
      <c r="H169" s="298" t="e">
        <f t="shared" si="41"/>
        <v>#N/A</v>
      </c>
      <c r="I169" s="298" t="e">
        <f t="shared" si="41"/>
        <v>#N/A</v>
      </c>
      <c r="J169" s="298" t="e">
        <f t="shared" si="41"/>
        <v>#N/A</v>
      </c>
      <c r="K169" s="298" t="e">
        <f t="shared" si="41"/>
        <v>#N/A</v>
      </c>
      <c r="L169" s="298" t="e">
        <f t="shared" si="41"/>
        <v>#N/A</v>
      </c>
      <c r="M169" s="298" t="e">
        <f t="shared" si="41"/>
        <v>#N/A</v>
      </c>
      <c r="N169" s="298" t="e">
        <f t="shared" si="41"/>
        <v>#N/A</v>
      </c>
      <c r="O169" s="298" t="e">
        <f t="shared" si="41"/>
        <v>#N/A</v>
      </c>
      <c r="P169" s="298" t="e">
        <f t="shared" si="41"/>
        <v>#N/A</v>
      </c>
      <c r="Q169" s="298" t="e">
        <f>Q158-(M34*C35)</f>
        <v>#N/A</v>
      </c>
      <c r="R169" s="298" t="e">
        <f t="shared" si="41"/>
        <v>#N/A</v>
      </c>
      <c r="S169" s="298" t="e">
        <f t="shared" si="41"/>
        <v>#N/A</v>
      </c>
      <c r="T169" s="298" t="e">
        <f t="shared" si="41"/>
        <v>#N/A</v>
      </c>
      <c r="U169" s="298" t="e">
        <f t="shared" si="41"/>
        <v>#N/A</v>
      </c>
      <c r="V169" s="298" t="e">
        <f t="shared" si="41"/>
        <v>#N/A</v>
      </c>
      <c r="W169" s="298" t="e">
        <f t="shared" si="41"/>
        <v>#N/A</v>
      </c>
      <c r="X169" s="298" t="e">
        <f t="shared" si="41"/>
        <v>#N/A</v>
      </c>
      <c r="Y169" s="298" t="e">
        <f t="shared" si="41"/>
        <v>#N/A</v>
      </c>
      <c r="Z169" s="298" t="e">
        <f t="shared" si="41"/>
        <v>#N/A</v>
      </c>
      <c r="AA169" s="298" t="e">
        <f t="shared" si="41"/>
        <v>#N/A</v>
      </c>
      <c r="AB169" s="298" t="e">
        <f t="shared" si="41"/>
        <v>#N/A</v>
      </c>
      <c r="AC169" s="298" t="e">
        <f t="shared" si="41"/>
        <v>#N/A</v>
      </c>
      <c r="AD169" s="298" t="e">
        <f t="shared" si="41"/>
        <v>#N/A</v>
      </c>
      <c r="AE169" s="298" t="e">
        <f t="shared" si="41"/>
        <v>#N/A</v>
      </c>
      <c r="AF169" s="298" t="e">
        <f t="shared" si="41"/>
        <v>#N/A</v>
      </c>
    </row>
    <row r="170" spans="2:32" ht="12.75">
      <c r="B170" s="83" t="s">
        <v>348</v>
      </c>
      <c r="C170" s="299">
        <f aca="true" t="shared" si="42" ref="C170:AF170">1/(1+($C$150))^(C10-1)</f>
        <v>1</v>
      </c>
      <c r="D170" s="299">
        <f t="shared" si="42"/>
        <v>0.9174311926605504</v>
      </c>
      <c r="E170" s="299">
        <f t="shared" si="42"/>
        <v>0.84167999326656</v>
      </c>
      <c r="F170" s="299">
        <f t="shared" si="42"/>
        <v>0.7721834800610642</v>
      </c>
      <c r="G170" s="299">
        <f t="shared" si="42"/>
        <v>0.7084252110651964</v>
      </c>
      <c r="H170" s="299">
        <f t="shared" si="42"/>
        <v>0.6499313862983452</v>
      </c>
      <c r="I170" s="299">
        <f t="shared" si="42"/>
        <v>0.5962673268792158</v>
      </c>
      <c r="J170" s="299">
        <f t="shared" si="42"/>
        <v>0.5470342448433173</v>
      </c>
      <c r="K170" s="299">
        <f t="shared" si="42"/>
        <v>0.5018662796727681</v>
      </c>
      <c r="L170" s="299">
        <f t="shared" si="42"/>
        <v>0.460427779516301</v>
      </c>
      <c r="M170" s="299">
        <f t="shared" si="42"/>
        <v>0.42241080689568894</v>
      </c>
      <c r="N170" s="299">
        <f t="shared" si="42"/>
        <v>0.3875328503630174</v>
      </c>
      <c r="O170" s="299">
        <f t="shared" si="42"/>
        <v>0.35553472510368567</v>
      </c>
      <c r="P170" s="299">
        <f t="shared" si="42"/>
        <v>0.32617864688411524</v>
      </c>
      <c r="Q170" s="299">
        <f t="shared" si="42"/>
        <v>0.29924646503129837</v>
      </c>
      <c r="R170" s="299">
        <f t="shared" si="42"/>
        <v>0.27453804131311776</v>
      </c>
      <c r="S170" s="299">
        <f t="shared" si="42"/>
        <v>0.2518697626725851</v>
      </c>
      <c r="T170" s="299">
        <f t="shared" si="42"/>
        <v>0.23107317676383954</v>
      </c>
      <c r="U170" s="299">
        <f t="shared" si="42"/>
        <v>0.21199374015031147</v>
      </c>
      <c r="V170" s="299">
        <f t="shared" si="42"/>
        <v>0.19448966986267105</v>
      </c>
      <c r="W170" s="299">
        <f t="shared" si="42"/>
        <v>0.17843088978226704</v>
      </c>
      <c r="X170" s="299">
        <f t="shared" si="42"/>
        <v>0.16369806402042844</v>
      </c>
      <c r="Y170" s="299">
        <f t="shared" si="42"/>
        <v>0.1501817101104848</v>
      </c>
      <c r="Z170" s="299">
        <f t="shared" si="42"/>
        <v>0.13778138542246313</v>
      </c>
      <c r="AA170" s="299">
        <f t="shared" si="42"/>
        <v>0.12640494075455333</v>
      </c>
      <c r="AB170" s="299">
        <f t="shared" si="42"/>
        <v>0.11596783555463605</v>
      </c>
      <c r="AC170" s="299">
        <f t="shared" si="42"/>
        <v>0.10639250968315234</v>
      </c>
      <c r="AD170" s="299">
        <f t="shared" si="42"/>
        <v>0.09760780704876361</v>
      </c>
      <c r="AE170" s="299">
        <f t="shared" si="42"/>
        <v>0.08954844683372809</v>
      </c>
      <c r="AF170" s="299">
        <f t="shared" si="42"/>
        <v>0.08215453837956704</v>
      </c>
    </row>
    <row r="171" spans="2:32" ht="12.75">
      <c r="B171" s="84" t="s">
        <v>349</v>
      </c>
      <c r="C171" s="300" t="e">
        <f>C169*C170</f>
        <v>#N/A</v>
      </c>
      <c r="D171" s="300" t="e">
        <f aca="true" t="shared" si="43" ref="D171:AF171">D169*D170</f>
        <v>#N/A</v>
      </c>
      <c r="E171" s="300" t="e">
        <f t="shared" si="43"/>
        <v>#N/A</v>
      </c>
      <c r="F171" s="300" t="e">
        <f t="shared" si="43"/>
        <v>#N/A</v>
      </c>
      <c r="G171" s="300" t="e">
        <f t="shared" si="43"/>
        <v>#N/A</v>
      </c>
      <c r="H171" s="300" t="e">
        <f t="shared" si="43"/>
        <v>#N/A</v>
      </c>
      <c r="I171" s="300" t="e">
        <f t="shared" si="43"/>
        <v>#N/A</v>
      </c>
      <c r="J171" s="300" t="e">
        <f t="shared" si="43"/>
        <v>#N/A</v>
      </c>
      <c r="K171" s="300" t="e">
        <f t="shared" si="43"/>
        <v>#N/A</v>
      </c>
      <c r="L171" s="300" t="e">
        <f t="shared" si="43"/>
        <v>#N/A</v>
      </c>
      <c r="M171" s="300" t="e">
        <f t="shared" si="43"/>
        <v>#N/A</v>
      </c>
      <c r="N171" s="300" t="e">
        <f t="shared" si="43"/>
        <v>#N/A</v>
      </c>
      <c r="O171" s="300" t="e">
        <f t="shared" si="43"/>
        <v>#N/A</v>
      </c>
      <c r="P171" s="300" t="e">
        <f t="shared" si="43"/>
        <v>#N/A</v>
      </c>
      <c r="Q171" s="300" t="e">
        <f t="shared" si="43"/>
        <v>#N/A</v>
      </c>
      <c r="R171" s="300" t="e">
        <f t="shared" si="43"/>
        <v>#N/A</v>
      </c>
      <c r="S171" s="300" t="e">
        <f t="shared" si="43"/>
        <v>#N/A</v>
      </c>
      <c r="T171" s="300" t="e">
        <f t="shared" si="43"/>
        <v>#N/A</v>
      </c>
      <c r="U171" s="300" t="e">
        <f t="shared" si="43"/>
        <v>#N/A</v>
      </c>
      <c r="V171" s="300" t="e">
        <f t="shared" si="43"/>
        <v>#N/A</v>
      </c>
      <c r="W171" s="300" t="e">
        <f t="shared" si="43"/>
        <v>#N/A</v>
      </c>
      <c r="X171" s="300" t="e">
        <f t="shared" si="43"/>
        <v>#N/A</v>
      </c>
      <c r="Y171" s="300" t="e">
        <f t="shared" si="43"/>
        <v>#N/A</v>
      </c>
      <c r="Z171" s="300" t="e">
        <f t="shared" si="43"/>
        <v>#N/A</v>
      </c>
      <c r="AA171" s="300" t="e">
        <f t="shared" si="43"/>
        <v>#N/A</v>
      </c>
      <c r="AB171" s="300" t="e">
        <f t="shared" si="43"/>
        <v>#N/A</v>
      </c>
      <c r="AC171" s="300" t="e">
        <f t="shared" si="43"/>
        <v>#N/A</v>
      </c>
      <c r="AD171" s="300" t="e">
        <f t="shared" si="43"/>
        <v>#N/A</v>
      </c>
      <c r="AE171" s="300" t="e">
        <f t="shared" si="43"/>
        <v>#N/A</v>
      </c>
      <c r="AF171" s="300" t="e">
        <f t="shared" si="43"/>
        <v>#N/A</v>
      </c>
    </row>
    <row r="172" spans="2:32" ht="12.75">
      <c r="B172" s="85" t="s">
        <v>226</v>
      </c>
      <c r="C172" s="86" t="e">
        <f>SUM(C171:L171)</f>
        <v>#N/A</v>
      </c>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row>
    <row r="173" s="42" customFormat="1" ht="12.75">
      <c r="B173" s="43"/>
    </row>
    <row r="174" spans="2:3" ht="12.75">
      <c r="B174" s="81" t="s">
        <v>369</v>
      </c>
      <c r="C174" s="296"/>
    </row>
    <row r="175" spans="2:32" ht="12.75">
      <c r="B175" s="82" t="s">
        <v>347</v>
      </c>
      <c r="C175" s="298" t="e">
        <f aca="true" t="shared" si="44" ref="C175:AF175">C95-C111</f>
        <v>#N/A</v>
      </c>
      <c r="D175" s="298" t="e">
        <f t="shared" si="44"/>
        <v>#N/A</v>
      </c>
      <c r="E175" s="298" t="e">
        <f t="shared" si="44"/>
        <v>#N/A</v>
      </c>
      <c r="F175" s="298" t="e">
        <f t="shared" si="44"/>
        <v>#N/A</v>
      </c>
      <c r="G175" s="298" t="e">
        <f t="shared" si="44"/>
        <v>#N/A</v>
      </c>
      <c r="H175" s="298" t="e">
        <f t="shared" si="44"/>
        <v>#N/A</v>
      </c>
      <c r="I175" s="298" t="e">
        <f t="shared" si="44"/>
        <v>#N/A</v>
      </c>
      <c r="J175" s="298" t="e">
        <f t="shared" si="44"/>
        <v>#N/A</v>
      </c>
      <c r="K175" s="298" t="e">
        <f t="shared" si="44"/>
        <v>#N/A</v>
      </c>
      <c r="L175" s="298" t="e">
        <f t="shared" si="44"/>
        <v>#N/A</v>
      </c>
      <c r="M175" s="298" t="e">
        <f t="shared" si="44"/>
        <v>#N/A</v>
      </c>
      <c r="N175" s="298" t="e">
        <f t="shared" si="44"/>
        <v>#N/A</v>
      </c>
      <c r="O175" s="298" t="e">
        <f t="shared" si="44"/>
        <v>#N/A</v>
      </c>
      <c r="P175" s="298" t="e">
        <f t="shared" si="44"/>
        <v>#N/A</v>
      </c>
      <c r="Q175" s="298" t="e">
        <f t="shared" si="44"/>
        <v>#N/A</v>
      </c>
      <c r="R175" s="298" t="e">
        <f t="shared" si="44"/>
        <v>#N/A</v>
      </c>
      <c r="S175" s="298" t="e">
        <f t="shared" si="44"/>
        <v>#N/A</v>
      </c>
      <c r="T175" s="298" t="e">
        <f t="shared" si="44"/>
        <v>#N/A</v>
      </c>
      <c r="U175" s="298" t="e">
        <f t="shared" si="44"/>
        <v>#N/A</v>
      </c>
      <c r="V175" s="298" t="e">
        <f t="shared" si="44"/>
        <v>#N/A</v>
      </c>
      <c r="W175" s="298" t="e">
        <f t="shared" si="44"/>
        <v>#N/A</v>
      </c>
      <c r="X175" s="298" t="e">
        <f t="shared" si="44"/>
        <v>#N/A</v>
      </c>
      <c r="Y175" s="298" t="e">
        <f t="shared" si="44"/>
        <v>#N/A</v>
      </c>
      <c r="Z175" s="298" t="e">
        <f t="shared" si="44"/>
        <v>#N/A</v>
      </c>
      <c r="AA175" s="298" t="e">
        <f t="shared" si="44"/>
        <v>#N/A</v>
      </c>
      <c r="AB175" s="298" t="e">
        <f t="shared" si="44"/>
        <v>#N/A</v>
      </c>
      <c r="AC175" s="298" t="e">
        <f t="shared" si="44"/>
        <v>#N/A</v>
      </c>
      <c r="AD175" s="298" t="e">
        <f t="shared" si="44"/>
        <v>#N/A</v>
      </c>
      <c r="AE175" s="298" t="e">
        <f t="shared" si="44"/>
        <v>#N/A</v>
      </c>
      <c r="AF175" s="298" t="e">
        <f t="shared" si="44"/>
        <v>#N/A</v>
      </c>
    </row>
    <row r="176" spans="2:32" ht="12.75">
      <c r="B176" s="83" t="s">
        <v>348</v>
      </c>
      <c r="C176" s="299">
        <f aca="true" t="shared" si="45" ref="C176:AF176">1/(1+($C$150))^(C10-1)</f>
        <v>1</v>
      </c>
      <c r="D176" s="299">
        <f t="shared" si="45"/>
        <v>0.9174311926605504</v>
      </c>
      <c r="E176" s="299">
        <f t="shared" si="45"/>
        <v>0.84167999326656</v>
      </c>
      <c r="F176" s="299">
        <f t="shared" si="45"/>
        <v>0.7721834800610642</v>
      </c>
      <c r="G176" s="299">
        <f t="shared" si="45"/>
        <v>0.7084252110651964</v>
      </c>
      <c r="H176" s="299">
        <f t="shared" si="45"/>
        <v>0.6499313862983452</v>
      </c>
      <c r="I176" s="299">
        <f t="shared" si="45"/>
        <v>0.5962673268792158</v>
      </c>
      <c r="J176" s="299">
        <f t="shared" si="45"/>
        <v>0.5470342448433173</v>
      </c>
      <c r="K176" s="299">
        <f t="shared" si="45"/>
        <v>0.5018662796727681</v>
      </c>
      <c r="L176" s="299">
        <f t="shared" si="45"/>
        <v>0.460427779516301</v>
      </c>
      <c r="M176" s="299">
        <f t="shared" si="45"/>
        <v>0.42241080689568894</v>
      </c>
      <c r="N176" s="299">
        <f t="shared" si="45"/>
        <v>0.3875328503630174</v>
      </c>
      <c r="O176" s="299">
        <f t="shared" si="45"/>
        <v>0.35553472510368567</v>
      </c>
      <c r="P176" s="299">
        <f t="shared" si="45"/>
        <v>0.32617864688411524</v>
      </c>
      <c r="Q176" s="299">
        <f t="shared" si="45"/>
        <v>0.29924646503129837</v>
      </c>
      <c r="R176" s="299">
        <f t="shared" si="45"/>
        <v>0.27453804131311776</v>
      </c>
      <c r="S176" s="299">
        <f t="shared" si="45"/>
        <v>0.2518697626725851</v>
      </c>
      <c r="T176" s="299">
        <f t="shared" si="45"/>
        <v>0.23107317676383954</v>
      </c>
      <c r="U176" s="299">
        <f t="shared" si="45"/>
        <v>0.21199374015031147</v>
      </c>
      <c r="V176" s="299">
        <f t="shared" si="45"/>
        <v>0.19448966986267105</v>
      </c>
      <c r="W176" s="299">
        <f t="shared" si="45"/>
        <v>0.17843088978226704</v>
      </c>
      <c r="X176" s="299">
        <f t="shared" si="45"/>
        <v>0.16369806402042844</v>
      </c>
      <c r="Y176" s="299">
        <f t="shared" si="45"/>
        <v>0.1501817101104848</v>
      </c>
      <c r="Z176" s="299">
        <f t="shared" si="45"/>
        <v>0.13778138542246313</v>
      </c>
      <c r="AA176" s="299">
        <f t="shared" si="45"/>
        <v>0.12640494075455333</v>
      </c>
      <c r="AB176" s="299">
        <f t="shared" si="45"/>
        <v>0.11596783555463605</v>
      </c>
      <c r="AC176" s="299">
        <f t="shared" si="45"/>
        <v>0.10639250968315234</v>
      </c>
      <c r="AD176" s="299">
        <f t="shared" si="45"/>
        <v>0.09760780704876361</v>
      </c>
      <c r="AE176" s="299">
        <f t="shared" si="45"/>
        <v>0.08954844683372809</v>
      </c>
      <c r="AF176" s="299">
        <f t="shared" si="45"/>
        <v>0.08215453837956704</v>
      </c>
    </row>
    <row r="177" spans="2:32" ht="12.75">
      <c r="B177" s="84" t="s">
        <v>349</v>
      </c>
      <c r="C177" s="300" t="e">
        <f aca="true" t="shared" si="46" ref="C177:AF177">C175*C176</f>
        <v>#N/A</v>
      </c>
      <c r="D177" s="300" t="e">
        <f t="shared" si="46"/>
        <v>#N/A</v>
      </c>
      <c r="E177" s="300" t="e">
        <f t="shared" si="46"/>
        <v>#N/A</v>
      </c>
      <c r="F177" s="300" t="e">
        <f t="shared" si="46"/>
        <v>#N/A</v>
      </c>
      <c r="G177" s="300" t="e">
        <f t="shared" si="46"/>
        <v>#N/A</v>
      </c>
      <c r="H177" s="300" t="e">
        <f t="shared" si="46"/>
        <v>#N/A</v>
      </c>
      <c r="I177" s="300" t="e">
        <f t="shared" si="46"/>
        <v>#N/A</v>
      </c>
      <c r="J177" s="300" t="e">
        <f t="shared" si="46"/>
        <v>#N/A</v>
      </c>
      <c r="K177" s="300" t="e">
        <f t="shared" si="46"/>
        <v>#N/A</v>
      </c>
      <c r="L177" s="300" t="e">
        <f t="shared" si="46"/>
        <v>#N/A</v>
      </c>
      <c r="M177" s="300" t="e">
        <f t="shared" si="46"/>
        <v>#N/A</v>
      </c>
      <c r="N177" s="300" t="e">
        <f t="shared" si="46"/>
        <v>#N/A</v>
      </c>
      <c r="O177" s="300" t="e">
        <f t="shared" si="46"/>
        <v>#N/A</v>
      </c>
      <c r="P177" s="300" t="e">
        <f t="shared" si="46"/>
        <v>#N/A</v>
      </c>
      <c r="Q177" s="300" t="e">
        <f t="shared" si="46"/>
        <v>#N/A</v>
      </c>
      <c r="R177" s="300" t="e">
        <f t="shared" si="46"/>
        <v>#N/A</v>
      </c>
      <c r="S177" s="300" t="e">
        <f t="shared" si="46"/>
        <v>#N/A</v>
      </c>
      <c r="T177" s="300" t="e">
        <f t="shared" si="46"/>
        <v>#N/A</v>
      </c>
      <c r="U177" s="300" t="e">
        <f t="shared" si="46"/>
        <v>#N/A</v>
      </c>
      <c r="V177" s="300" t="e">
        <f t="shared" si="46"/>
        <v>#N/A</v>
      </c>
      <c r="W177" s="300" t="e">
        <f t="shared" si="46"/>
        <v>#N/A</v>
      </c>
      <c r="X177" s="300" t="e">
        <f t="shared" si="46"/>
        <v>#N/A</v>
      </c>
      <c r="Y177" s="300" t="e">
        <f t="shared" si="46"/>
        <v>#N/A</v>
      </c>
      <c r="Z177" s="300" t="e">
        <f t="shared" si="46"/>
        <v>#N/A</v>
      </c>
      <c r="AA177" s="300" t="e">
        <f t="shared" si="46"/>
        <v>#N/A</v>
      </c>
      <c r="AB177" s="300" t="e">
        <f t="shared" si="46"/>
        <v>#N/A</v>
      </c>
      <c r="AC177" s="300" t="e">
        <f t="shared" si="46"/>
        <v>#N/A</v>
      </c>
      <c r="AD177" s="300" t="e">
        <f t="shared" si="46"/>
        <v>#N/A</v>
      </c>
      <c r="AE177" s="300" t="e">
        <f t="shared" si="46"/>
        <v>#N/A</v>
      </c>
      <c r="AF177" s="300" t="e">
        <f t="shared" si="46"/>
        <v>#N/A</v>
      </c>
    </row>
    <row r="178" spans="2:32" ht="12.75">
      <c r="B178" s="85" t="s">
        <v>226</v>
      </c>
      <c r="C178" s="86" t="e">
        <f>SUM(C177:L177)</f>
        <v>#N/A</v>
      </c>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row>
    <row r="179" ht="12.75">
      <c r="B179" s="81" t="s">
        <v>371</v>
      </c>
    </row>
    <row r="180" spans="2:32" ht="12.75">
      <c r="B180" s="82" t="s">
        <v>347</v>
      </c>
      <c r="C180" s="298" t="e">
        <f aca="true" t="shared" si="47" ref="C180:AF180">C95-C122</f>
        <v>#N/A</v>
      </c>
      <c r="D180" s="298" t="e">
        <f t="shared" si="47"/>
        <v>#N/A</v>
      </c>
      <c r="E180" s="298" t="e">
        <f t="shared" si="47"/>
        <v>#N/A</v>
      </c>
      <c r="F180" s="298" t="e">
        <f t="shared" si="47"/>
        <v>#N/A</v>
      </c>
      <c r="G180" s="298" t="e">
        <f t="shared" si="47"/>
        <v>#N/A</v>
      </c>
      <c r="H180" s="298" t="e">
        <f t="shared" si="47"/>
        <v>#N/A</v>
      </c>
      <c r="I180" s="298" t="e">
        <f t="shared" si="47"/>
        <v>#N/A</v>
      </c>
      <c r="J180" s="298" t="e">
        <f t="shared" si="47"/>
        <v>#N/A</v>
      </c>
      <c r="K180" s="298" t="e">
        <f t="shared" si="47"/>
        <v>#N/A</v>
      </c>
      <c r="L180" s="298" t="e">
        <f t="shared" si="47"/>
        <v>#N/A</v>
      </c>
      <c r="M180" s="298" t="e">
        <f t="shared" si="47"/>
        <v>#N/A</v>
      </c>
      <c r="N180" s="298" t="e">
        <f t="shared" si="47"/>
        <v>#N/A</v>
      </c>
      <c r="O180" s="298" t="e">
        <f t="shared" si="47"/>
        <v>#N/A</v>
      </c>
      <c r="P180" s="298" t="e">
        <f t="shared" si="47"/>
        <v>#N/A</v>
      </c>
      <c r="Q180" s="298" t="e">
        <f t="shared" si="47"/>
        <v>#N/A</v>
      </c>
      <c r="R180" s="298" t="e">
        <f t="shared" si="47"/>
        <v>#N/A</v>
      </c>
      <c r="S180" s="298" t="e">
        <f t="shared" si="47"/>
        <v>#N/A</v>
      </c>
      <c r="T180" s="298" t="e">
        <f t="shared" si="47"/>
        <v>#N/A</v>
      </c>
      <c r="U180" s="298" t="e">
        <f t="shared" si="47"/>
        <v>#N/A</v>
      </c>
      <c r="V180" s="298" t="e">
        <f t="shared" si="47"/>
        <v>#N/A</v>
      </c>
      <c r="W180" s="298" t="e">
        <f t="shared" si="47"/>
        <v>#N/A</v>
      </c>
      <c r="X180" s="298" t="e">
        <f t="shared" si="47"/>
        <v>#N/A</v>
      </c>
      <c r="Y180" s="298" t="e">
        <f t="shared" si="47"/>
        <v>#N/A</v>
      </c>
      <c r="Z180" s="298" t="e">
        <f t="shared" si="47"/>
        <v>#N/A</v>
      </c>
      <c r="AA180" s="298" t="e">
        <f t="shared" si="47"/>
        <v>#N/A</v>
      </c>
      <c r="AB180" s="298" t="e">
        <f t="shared" si="47"/>
        <v>#N/A</v>
      </c>
      <c r="AC180" s="298" t="e">
        <f t="shared" si="47"/>
        <v>#N/A</v>
      </c>
      <c r="AD180" s="298" t="e">
        <f t="shared" si="47"/>
        <v>#N/A</v>
      </c>
      <c r="AE180" s="298" t="e">
        <f t="shared" si="47"/>
        <v>#N/A</v>
      </c>
      <c r="AF180" s="298" t="e">
        <f t="shared" si="47"/>
        <v>#N/A</v>
      </c>
    </row>
    <row r="181" spans="2:32" ht="12.75">
      <c r="B181" s="83" t="s">
        <v>348</v>
      </c>
      <c r="C181" s="299">
        <f>C176</f>
        <v>1</v>
      </c>
      <c r="D181" s="299">
        <f aca="true" t="shared" si="48" ref="D181:AF181">D176</f>
        <v>0.9174311926605504</v>
      </c>
      <c r="E181" s="299">
        <f t="shared" si="48"/>
        <v>0.84167999326656</v>
      </c>
      <c r="F181" s="299">
        <f t="shared" si="48"/>
        <v>0.7721834800610642</v>
      </c>
      <c r="G181" s="299">
        <f t="shared" si="48"/>
        <v>0.7084252110651964</v>
      </c>
      <c r="H181" s="299">
        <f t="shared" si="48"/>
        <v>0.6499313862983452</v>
      </c>
      <c r="I181" s="299">
        <f t="shared" si="48"/>
        <v>0.5962673268792158</v>
      </c>
      <c r="J181" s="299">
        <f t="shared" si="48"/>
        <v>0.5470342448433173</v>
      </c>
      <c r="K181" s="299">
        <f t="shared" si="48"/>
        <v>0.5018662796727681</v>
      </c>
      <c r="L181" s="299">
        <f t="shared" si="48"/>
        <v>0.460427779516301</v>
      </c>
      <c r="M181" s="299">
        <f t="shared" si="48"/>
        <v>0.42241080689568894</v>
      </c>
      <c r="N181" s="299">
        <f t="shared" si="48"/>
        <v>0.3875328503630174</v>
      </c>
      <c r="O181" s="299">
        <f t="shared" si="48"/>
        <v>0.35553472510368567</v>
      </c>
      <c r="P181" s="299">
        <f t="shared" si="48"/>
        <v>0.32617864688411524</v>
      </c>
      <c r="Q181" s="299">
        <f t="shared" si="48"/>
        <v>0.29924646503129837</v>
      </c>
      <c r="R181" s="299">
        <f t="shared" si="48"/>
        <v>0.27453804131311776</v>
      </c>
      <c r="S181" s="299">
        <f t="shared" si="48"/>
        <v>0.2518697626725851</v>
      </c>
      <c r="T181" s="299">
        <f t="shared" si="48"/>
        <v>0.23107317676383954</v>
      </c>
      <c r="U181" s="299">
        <f t="shared" si="48"/>
        <v>0.21199374015031147</v>
      </c>
      <c r="V181" s="299">
        <f t="shared" si="48"/>
        <v>0.19448966986267105</v>
      </c>
      <c r="W181" s="299">
        <f t="shared" si="48"/>
        <v>0.17843088978226704</v>
      </c>
      <c r="X181" s="299">
        <f t="shared" si="48"/>
        <v>0.16369806402042844</v>
      </c>
      <c r="Y181" s="299">
        <f t="shared" si="48"/>
        <v>0.1501817101104848</v>
      </c>
      <c r="Z181" s="299">
        <f t="shared" si="48"/>
        <v>0.13778138542246313</v>
      </c>
      <c r="AA181" s="299">
        <f t="shared" si="48"/>
        <v>0.12640494075455333</v>
      </c>
      <c r="AB181" s="299">
        <f t="shared" si="48"/>
        <v>0.11596783555463605</v>
      </c>
      <c r="AC181" s="299">
        <f t="shared" si="48"/>
        <v>0.10639250968315234</v>
      </c>
      <c r="AD181" s="299">
        <f t="shared" si="48"/>
        <v>0.09760780704876361</v>
      </c>
      <c r="AE181" s="299">
        <f t="shared" si="48"/>
        <v>0.08954844683372809</v>
      </c>
      <c r="AF181" s="299">
        <f t="shared" si="48"/>
        <v>0.08215453837956704</v>
      </c>
    </row>
    <row r="182" spans="2:32" ht="12.75">
      <c r="B182" s="84" t="s">
        <v>349</v>
      </c>
      <c r="C182" s="300" t="e">
        <f aca="true" t="shared" si="49" ref="C182:AF182">C180*C181</f>
        <v>#N/A</v>
      </c>
      <c r="D182" s="300" t="e">
        <f t="shared" si="49"/>
        <v>#N/A</v>
      </c>
      <c r="E182" s="300" t="e">
        <f t="shared" si="49"/>
        <v>#N/A</v>
      </c>
      <c r="F182" s="300" t="e">
        <f t="shared" si="49"/>
        <v>#N/A</v>
      </c>
      <c r="G182" s="300" t="e">
        <f t="shared" si="49"/>
        <v>#N/A</v>
      </c>
      <c r="H182" s="300" t="e">
        <f t="shared" si="49"/>
        <v>#N/A</v>
      </c>
      <c r="I182" s="300" t="e">
        <f t="shared" si="49"/>
        <v>#N/A</v>
      </c>
      <c r="J182" s="300" t="e">
        <f t="shared" si="49"/>
        <v>#N/A</v>
      </c>
      <c r="K182" s="300" t="e">
        <f t="shared" si="49"/>
        <v>#N/A</v>
      </c>
      <c r="L182" s="300" t="e">
        <f t="shared" si="49"/>
        <v>#N/A</v>
      </c>
      <c r="M182" s="300" t="e">
        <f t="shared" si="49"/>
        <v>#N/A</v>
      </c>
      <c r="N182" s="300" t="e">
        <f t="shared" si="49"/>
        <v>#N/A</v>
      </c>
      <c r="O182" s="300" t="e">
        <f t="shared" si="49"/>
        <v>#N/A</v>
      </c>
      <c r="P182" s="300" t="e">
        <f t="shared" si="49"/>
        <v>#N/A</v>
      </c>
      <c r="Q182" s="300" t="e">
        <f t="shared" si="49"/>
        <v>#N/A</v>
      </c>
      <c r="R182" s="300" t="e">
        <f t="shared" si="49"/>
        <v>#N/A</v>
      </c>
      <c r="S182" s="300" t="e">
        <f t="shared" si="49"/>
        <v>#N/A</v>
      </c>
      <c r="T182" s="300" t="e">
        <f t="shared" si="49"/>
        <v>#N/A</v>
      </c>
      <c r="U182" s="300" t="e">
        <f t="shared" si="49"/>
        <v>#N/A</v>
      </c>
      <c r="V182" s="300" t="e">
        <f t="shared" si="49"/>
        <v>#N/A</v>
      </c>
      <c r="W182" s="300" t="e">
        <f t="shared" si="49"/>
        <v>#N/A</v>
      </c>
      <c r="X182" s="300" t="e">
        <f t="shared" si="49"/>
        <v>#N/A</v>
      </c>
      <c r="Y182" s="300" t="e">
        <f t="shared" si="49"/>
        <v>#N/A</v>
      </c>
      <c r="Z182" s="300" t="e">
        <f t="shared" si="49"/>
        <v>#N/A</v>
      </c>
      <c r="AA182" s="300" t="e">
        <f t="shared" si="49"/>
        <v>#N/A</v>
      </c>
      <c r="AB182" s="300" t="e">
        <f t="shared" si="49"/>
        <v>#N/A</v>
      </c>
      <c r="AC182" s="300" t="e">
        <f t="shared" si="49"/>
        <v>#N/A</v>
      </c>
      <c r="AD182" s="300" t="e">
        <f t="shared" si="49"/>
        <v>#N/A</v>
      </c>
      <c r="AE182" s="300" t="e">
        <f t="shared" si="49"/>
        <v>#N/A</v>
      </c>
      <c r="AF182" s="300" t="e">
        <f t="shared" si="49"/>
        <v>#N/A</v>
      </c>
    </row>
    <row r="183" spans="2:32" ht="12.75">
      <c r="B183" s="85" t="s">
        <v>226</v>
      </c>
      <c r="C183" s="86" t="e">
        <f>SUM(C182:L182)</f>
        <v>#N/A</v>
      </c>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row>
    <row r="184" spans="2:3" ht="12.75">
      <c r="B184" s="81" t="s">
        <v>372</v>
      </c>
      <c r="C184" s="296"/>
    </row>
    <row r="185" spans="2:32" ht="12.75">
      <c r="B185" s="82" t="s">
        <v>347</v>
      </c>
      <c r="C185" s="298" t="e">
        <f aca="true" t="shared" si="50" ref="C185:AF185">C96-C111</f>
        <v>#DIV/0!</v>
      </c>
      <c r="D185" s="298">
        <f t="shared" si="50"/>
        <v>0</v>
      </c>
      <c r="E185" s="298">
        <f t="shared" si="50"/>
        <v>0</v>
      </c>
      <c r="F185" s="298">
        <f t="shared" si="50"/>
        <v>0</v>
      </c>
      <c r="G185" s="298">
        <f t="shared" si="50"/>
        <v>0</v>
      </c>
      <c r="H185" s="298">
        <f t="shared" si="50"/>
        <v>0</v>
      </c>
      <c r="I185" s="298">
        <f t="shared" si="50"/>
        <v>0</v>
      </c>
      <c r="J185" s="298">
        <f t="shared" si="50"/>
        <v>0</v>
      </c>
      <c r="K185" s="298">
        <f t="shared" si="50"/>
        <v>0</v>
      </c>
      <c r="L185" s="298">
        <f t="shared" si="50"/>
        <v>0</v>
      </c>
      <c r="M185" s="298" t="e">
        <f t="shared" si="50"/>
        <v>#DIV/0!</v>
      </c>
      <c r="N185" s="298">
        <f t="shared" si="50"/>
        <v>0</v>
      </c>
      <c r="O185" s="298">
        <f t="shared" si="50"/>
        <v>0</v>
      </c>
      <c r="P185" s="298">
        <f t="shared" si="50"/>
        <v>0</v>
      </c>
      <c r="Q185" s="298">
        <f t="shared" si="50"/>
        <v>0</v>
      </c>
      <c r="R185" s="298">
        <f t="shared" si="50"/>
        <v>0</v>
      </c>
      <c r="S185" s="298">
        <f t="shared" si="50"/>
        <v>0</v>
      </c>
      <c r="T185" s="298">
        <f t="shared" si="50"/>
        <v>0</v>
      </c>
      <c r="U185" s="298">
        <f t="shared" si="50"/>
        <v>0</v>
      </c>
      <c r="V185" s="298">
        <f t="shared" si="50"/>
        <v>0</v>
      </c>
      <c r="W185" s="298" t="e">
        <f t="shared" si="50"/>
        <v>#DIV/0!</v>
      </c>
      <c r="X185" s="298">
        <f t="shared" si="50"/>
        <v>0</v>
      </c>
      <c r="Y185" s="298">
        <f t="shared" si="50"/>
        <v>0</v>
      </c>
      <c r="Z185" s="298">
        <f t="shared" si="50"/>
        <v>0</v>
      </c>
      <c r="AA185" s="298">
        <f t="shared" si="50"/>
        <v>0</v>
      </c>
      <c r="AB185" s="298">
        <f t="shared" si="50"/>
        <v>0</v>
      </c>
      <c r="AC185" s="298">
        <f t="shared" si="50"/>
        <v>0</v>
      </c>
      <c r="AD185" s="298">
        <f t="shared" si="50"/>
        <v>0</v>
      </c>
      <c r="AE185" s="298">
        <f t="shared" si="50"/>
        <v>0</v>
      </c>
      <c r="AF185" s="298">
        <f t="shared" si="50"/>
        <v>0</v>
      </c>
    </row>
    <row r="186" spans="2:32" ht="12.75">
      <c r="B186" s="83" t="s">
        <v>348</v>
      </c>
      <c r="C186" s="299">
        <f>C181</f>
        <v>1</v>
      </c>
      <c r="D186" s="299">
        <f aca="true" t="shared" si="51" ref="D186:AF186">D181</f>
        <v>0.9174311926605504</v>
      </c>
      <c r="E186" s="299">
        <f t="shared" si="51"/>
        <v>0.84167999326656</v>
      </c>
      <c r="F186" s="299">
        <f t="shared" si="51"/>
        <v>0.7721834800610642</v>
      </c>
      <c r="G186" s="299">
        <f t="shared" si="51"/>
        <v>0.7084252110651964</v>
      </c>
      <c r="H186" s="299">
        <f t="shared" si="51"/>
        <v>0.6499313862983452</v>
      </c>
      <c r="I186" s="299">
        <f t="shared" si="51"/>
        <v>0.5962673268792158</v>
      </c>
      <c r="J186" s="299">
        <f t="shared" si="51"/>
        <v>0.5470342448433173</v>
      </c>
      <c r="K186" s="299">
        <f t="shared" si="51"/>
        <v>0.5018662796727681</v>
      </c>
      <c r="L186" s="299">
        <f t="shared" si="51"/>
        <v>0.460427779516301</v>
      </c>
      <c r="M186" s="299">
        <f t="shared" si="51"/>
        <v>0.42241080689568894</v>
      </c>
      <c r="N186" s="299">
        <f t="shared" si="51"/>
        <v>0.3875328503630174</v>
      </c>
      <c r="O186" s="299">
        <f t="shared" si="51"/>
        <v>0.35553472510368567</v>
      </c>
      <c r="P186" s="299">
        <f t="shared" si="51"/>
        <v>0.32617864688411524</v>
      </c>
      <c r="Q186" s="299">
        <f t="shared" si="51"/>
        <v>0.29924646503129837</v>
      </c>
      <c r="R186" s="299">
        <f t="shared" si="51"/>
        <v>0.27453804131311776</v>
      </c>
      <c r="S186" s="299">
        <f t="shared" si="51"/>
        <v>0.2518697626725851</v>
      </c>
      <c r="T186" s="299">
        <f t="shared" si="51"/>
        <v>0.23107317676383954</v>
      </c>
      <c r="U186" s="299">
        <f t="shared" si="51"/>
        <v>0.21199374015031147</v>
      </c>
      <c r="V186" s="299">
        <f t="shared" si="51"/>
        <v>0.19448966986267105</v>
      </c>
      <c r="W186" s="299">
        <f t="shared" si="51"/>
        <v>0.17843088978226704</v>
      </c>
      <c r="X186" s="299">
        <f t="shared" si="51"/>
        <v>0.16369806402042844</v>
      </c>
      <c r="Y186" s="299">
        <f t="shared" si="51"/>
        <v>0.1501817101104848</v>
      </c>
      <c r="Z186" s="299">
        <f t="shared" si="51"/>
        <v>0.13778138542246313</v>
      </c>
      <c r="AA186" s="299">
        <f t="shared" si="51"/>
        <v>0.12640494075455333</v>
      </c>
      <c r="AB186" s="299">
        <f t="shared" si="51"/>
        <v>0.11596783555463605</v>
      </c>
      <c r="AC186" s="299">
        <f t="shared" si="51"/>
        <v>0.10639250968315234</v>
      </c>
      <c r="AD186" s="299">
        <f t="shared" si="51"/>
        <v>0.09760780704876361</v>
      </c>
      <c r="AE186" s="299">
        <f t="shared" si="51"/>
        <v>0.08954844683372809</v>
      </c>
      <c r="AF186" s="299">
        <f t="shared" si="51"/>
        <v>0.08215453837956704</v>
      </c>
    </row>
    <row r="187" spans="2:32" ht="12.75">
      <c r="B187" s="84" t="s">
        <v>349</v>
      </c>
      <c r="C187" s="300" t="e">
        <f aca="true" t="shared" si="52" ref="C187:AF187">C185*C186</f>
        <v>#DIV/0!</v>
      </c>
      <c r="D187" s="300">
        <f t="shared" si="52"/>
        <v>0</v>
      </c>
      <c r="E187" s="300">
        <f t="shared" si="52"/>
        <v>0</v>
      </c>
      <c r="F187" s="300">
        <f t="shared" si="52"/>
        <v>0</v>
      </c>
      <c r="G187" s="300">
        <f t="shared" si="52"/>
        <v>0</v>
      </c>
      <c r="H187" s="300">
        <f t="shared" si="52"/>
        <v>0</v>
      </c>
      <c r="I187" s="300">
        <f t="shared" si="52"/>
        <v>0</v>
      </c>
      <c r="J187" s="300">
        <f t="shared" si="52"/>
        <v>0</v>
      </c>
      <c r="K187" s="300">
        <f t="shared" si="52"/>
        <v>0</v>
      </c>
      <c r="L187" s="300">
        <f t="shared" si="52"/>
        <v>0</v>
      </c>
      <c r="M187" s="300" t="e">
        <f t="shared" si="52"/>
        <v>#DIV/0!</v>
      </c>
      <c r="N187" s="300">
        <f t="shared" si="52"/>
        <v>0</v>
      </c>
      <c r="O187" s="300">
        <f t="shared" si="52"/>
        <v>0</v>
      </c>
      <c r="P187" s="300">
        <f t="shared" si="52"/>
        <v>0</v>
      </c>
      <c r="Q187" s="300">
        <f t="shared" si="52"/>
        <v>0</v>
      </c>
      <c r="R187" s="300">
        <f t="shared" si="52"/>
        <v>0</v>
      </c>
      <c r="S187" s="300">
        <f t="shared" si="52"/>
        <v>0</v>
      </c>
      <c r="T187" s="300">
        <f t="shared" si="52"/>
        <v>0</v>
      </c>
      <c r="U187" s="300">
        <f t="shared" si="52"/>
        <v>0</v>
      </c>
      <c r="V187" s="300">
        <f t="shared" si="52"/>
        <v>0</v>
      </c>
      <c r="W187" s="300" t="e">
        <f t="shared" si="52"/>
        <v>#DIV/0!</v>
      </c>
      <c r="X187" s="300">
        <f t="shared" si="52"/>
        <v>0</v>
      </c>
      <c r="Y187" s="300">
        <f t="shared" si="52"/>
        <v>0</v>
      </c>
      <c r="Z187" s="300">
        <f t="shared" si="52"/>
        <v>0</v>
      </c>
      <c r="AA187" s="300">
        <f t="shared" si="52"/>
        <v>0</v>
      </c>
      <c r="AB187" s="300">
        <f t="shared" si="52"/>
        <v>0</v>
      </c>
      <c r="AC187" s="300">
        <f t="shared" si="52"/>
        <v>0</v>
      </c>
      <c r="AD187" s="300">
        <f t="shared" si="52"/>
        <v>0</v>
      </c>
      <c r="AE187" s="300">
        <f t="shared" si="52"/>
        <v>0</v>
      </c>
      <c r="AF187" s="300">
        <f t="shared" si="52"/>
        <v>0</v>
      </c>
    </row>
    <row r="188" spans="2:32" ht="12.75">
      <c r="B188" s="85" t="s">
        <v>226</v>
      </c>
      <c r="C188" s="86" t="e">
        <f>SUM(C187:L187)</f>
        <v>#DIV/0!</v>
      </c>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row>
    <row r="189" s="42" customFormat="1" ht="12.75">
      <c r="B189" s="43"/>
    </row>
    <row r="190" ht="12.75">
      <c r="B190" s="81" t="s">
        <v>444</v>
      </c>
    </row>
    <row r="191" spans="2:32" ht="12.75">
      <c r="B191" s="82" t="s">
        <v>347</v>
      </c>
      <c r="C191" s="298" t="e">
        <f aca="true" t="shared" si="53" ref="C191:AF191">(C28+C95)-C139</f>
        <v>#N/A</v>
      </c>
      <c r="D191" s="298" t="e">
        <f t="shared" si="53"/>
        <v>#N/A</v>
      </c>
      <c r="E191" s="298" t="e">
        <f t="shared" si="53"/>
        <v>#N/A</v>
      </c>
      <c r="F191" s="298" t="e">
        <f t="shared" si="53"/>
        <v>#N/A</v>
      </c>
      <c r="G191" s="298" t="e">
        <f t="shared" si="53"/>
        <v>#N/A</v>
      </c>
      <c r="H191" s="298" t="e">
        <f t="shared" si="53"/>
        <v>#N/A</v>
      </c>
      <c r="I191" s="298" t="e">
        <f t="shared" si="53"/>
        <v>#N/A</v>
      </c>
      <c r="J191" s="298" t="e">
        <f t="shared" si="53"/>
        <v>#N/A</v>
      </c>
      <c r="K191" s="298" t="e">
        <f t="shared" si="53"/>
        <v>#N/A</v>
      </c>
      <c r="L191" s="298" t="e">
        <f t="shared" si="53"/>
        <v>#N/A</v>
      </c>
      <c r="M191" s="298" t="e">
        <f t="shared" si="53"/>
        <v>#N/A</v>
      </c>
      <c r="N191" s="298" t="e">
        <f t="shared" si="53"/>
        <v>#N/A</v>
      </c>
      <c r="O191" s="298" t="e">
        <f t="shared" si="53"/>
        <v>#N/A</v>
      </c>
      <c r="P191" s="298" t="e">
        <f t="shared" si="53"/>
        <v>#N/A</v>
      </c>
      <c r="Q191" s="298" t="e">
        <f t="shared" si="53"/>
        <v>#N/A</v>
      </c>
      <c r="R191" s="298" t="e">
        <f t="shared" si="53"/>
        <v>#N/A</v>
      </c>
      <c r="S191" s="298" t="e">
        <f t="shared" si="53"/>
        <v>#N/A</v>
      </c>
      <c r="T191" s="298" t="e">
        <f t="shared" si="53"/>
        <v>#N/A</v>
      </c>
      <c r="U191" s="298" t="e">
        <f t="shared" si="53"/>
        <v>#N/A</v>
      </c>
      <c r="V191" s="298" t="e">
        <f t="shared" si="53"/>
        <v>#N/A</v>
      </c>
      <c r="W191" s="298" t="e">
        <f t="shared" si="53"/>
        <v>#N/A</v>
      </c>
      <c r="X191" s="298" t="e">
        <f t="shared" si="53"/>
        <v>#N/A</v>
      </c>
      <c r="Y191" s="298" t="e">
        <f t="shared" si="53"/>
        <v>#N/A</v>
      </c>
      <c r="Z191" s="298" t="e">
        <f t="shared" si="53"/>
        <v>#N/A</v>
      </c>
      <c r="AA191" s="298" t="e">
        <f t="shared" si="53"/>
        <v>#N/A</v>
      </c>
      <c r="AB191" s="298" t="e">
        <f t="shared" si="53"/>
        <v>#N/A</v>
      </c>
      <c r="AC191" s="298" t="e">
        <f t="shared" si="53"/>
        <v>#N/A</v>
      </c>
      <c r="AD191" s="298" t="e">
        <f t="shared" si="53"/>
        <v>#N/A</v>
      </c>
      <c r="AE191" s="298" t="e">
        <f t="shared" si="53"/>
        <v>#N/A</v>
      </c>
      <c r="AF191" s="298" t="e">
        <f t="shared" si="53"/>
        <v>#N/A</v>
      </c>
    </row>
    <row r="192" spans="2:32" ht="12.75">
      <c r="B192" s="83" t="s">
        <v>348</v>
      </c>
      <c r="C192" s="299">
        <f aca="true" t="shared" si="54" ref="C192:AF192">1/(1+($C$150))^(C10-1)</f>
        <v>1</v>
      </c>
      <c r="D192" s="299">
        <f t="shared" si="54"/>
        <v>0.9174311926605504</v>
      </c>
      <c r="E192" s="299">
        <f t="shared" si="54"/>
        <v>0.84167999326656</v>
      </c>
      <c r="F192" s="299">
        <f t="shared" si="54"/>
        <v>0.7721834800610642</v>
      </c>
      <c r="G192" s="299">
        <f t="shared" si="54"/>
        <v>0.7084252110651964</v>
      </c>
      <c r="H192" s="299">
        <f t="shared" si="54"/>
        <v>0.6499313862983452</v>
      </c>
      <c r="I192" s="299">
        <f t="shared" si="54"/>
        <v>0.5962673268792158</v>
      </c>
      <c r="J192" s="299">
        <f t="shared" si="54"/>
        <v>0.5470342448433173</v>
      </c>
      <c r="K192" s="299">
        <f t="shared" si="54"/>
        <v>0.5018662796727681</v>
      </c>
      <c r="L192" s="299">
        <f t="shared" si="54"/>
        <v>0.460427779516301</v>
      </c>
      <c r="M192" s="299">
        <f t="shared" si="54"/>
        <v>0.42241080689568894</v>
      </c>
      <c r="N192" s="299">
        <f t="shared" si="54"/>
        <v>0.3875328503630174</v>
      </c>
      <c r="O192" s="299">
        <f t="shared" si="54"/>
        <v>0.35553472510368567</v>
      </c>
      <c r="P192" s="299">
        <f t="shared" si="54"/>
        <v>0.32617864688411524</v>
      </c>
      <c r="Q192" s="299">
        <f t="shared" si="54"/>
        <v>0.29924646503129837</v>
      </c>
      <c r="R192" s="299">
        <f t="shared" si="54"/>
        <v>0.27453804131311776</v>
      </c>
      <c r="S192" s="299">
        <f t="shared" si="54"/>
        <v>0.2518697626725851</v>
      </c>
      <c r="T192" s="299">
        <f t="shared" si="54"/>
        <v>0.23107317676383954</v>
      </c>
      <c r="U192" s="299">
        <f t="shared" si="54"/>
        <v>0.21199374015031147</v>
      </c>
      <c r="V192" s="299">
        <f t="shared" si="54"/>
        <v>0.19448966986267105</v>
      </c>
      <c r="W192" s="299">
        <f t="shared" si="54"/>
        <v>0.17843088978226704</v>
      </c>
      <c r="X192" s="299">
        <f t="shared" si="54"/>
        <v>0.16369806402042844</v>
      </c>
      <c r="Y192" s="299">
        <f t="shared" si="54"/>
        <v>0.1501817101104848</v>
      </c>
      <c r="Z192" s="299">
        <f t="shared" si="54"/>
        <v>0.13778138542246313</v>
      </c>
      <c r="AA192" s="299">
        <f t="shared" si="54"/>
        <v>0.12640494075455333</v>
      </c>
      <c r="AB192" s="299">
        <f t="shared" si="54"/>
        <v>0.11596783555463605</v>
      </c>
      <c r="AC192" s="299">
        <f t="shared" si="54"/>
        <v>0.10639250968315234</v>
      </c>
      <c r="AD192" s="299">
        <f t="shared" si="54"/>
        <v>0.09760780704876361</v>
      </c>
      <c r="AE192" s="299">
        <f t="shared" si="54"/>
        <v>0.08954844683372809</v>
      </c>
      <c r="AF192" s="299">
        <f t="shared" si="54"/>
        <v>0.08215453837956704</v>
      </c>
    </row>
    <row r="193" spans="2:32" ht="12.75">
      <c r="B193" s="84" t="s">
        <v>349</v>
      </c>
      <c r="C193" s="300" t="e">
        <f>C191*C192</f>
        <v>#N/A</v>
      </c>
      <c r="D193" s="300" t="e">
        <f aca="true" t="shared" si="55" ref="D193:AF193">D191*D192</f>
        <v>#N/A</v>
      </c>
      <c r="E193" s="300" t="e">
        <f t="shared" si="55"/>
        <v>#N/A</v>
      </c>
      <c r="F193" s="300" t="e">
        <f t="shared" si="55"/>
        <v>#N/A</v>
      </c>
      <c r="G193" s="300" t="e">
        <f t="shared" si="55"/>
        <v>#N/A</v>
      </c>
      <c r="H193" s="300" t="e">
        <f t="shared" si="55"/>
        <v>#N/A</v>
      </c>
      <c r="I193" s="300" t="e">
        <f t="shared" si="55"/>
        <v>#N/A</v>
      </c>
      <c r="J193" s="300" t="e">
        <f t="shared" si="55"/>
        <v>#N/A</v>
      </c>
      <c r="K193" s="300" t="e">
        <f t="shared" si="55"/>
        <v>#N/A</v>
      </c>
      <c r="L193" s="300" t="e">
        <f t="shared" si="55"/>
        <v>#N/A</v>
      </c>
      <c r="M193" s="300" t="e">
        <f t="shared" si="55"/>
        <v>#N/A</v>
      </c>
      <c r="N193" s="300" t="e">
        <f t="shared" si="55"/>
        <v>#N/A</v>
      </c>
      <c r="O193" s="300" t="e">
        <f t="shared" si="55"/>
        <v>#N/A</v>
      </c>
      <c r="P193" s="300" t="e">
        <f t="shared" si="55"/>
        <v>#N/A</v>
      </c>
      <c r="Q193" s="300" t="e">
        <f t="shared" si="55"/>
        <v>#N/A</v>
      </c>
      <c r="R193" s="300" t="e">
        <f t="shared" si="55"/>
        <v>#N/A</v>
      </c>
      <c r="S193" s="300" t="e">
        <f t="shared" si="55"/>
        <v>#N/A</v>
      </c>
      <c r="T193" s="300" t="e">
        <f t="shared" si="55"/>
        <v>#N/A</v>
      </c>
      <c r="U193" s="300" t="e">
        <f t="shared" si="55"/>
        <v>#N/A</v>
      </c>
      <c r="V193" s="300" t="e">
        <f t="shared" si="55"/>
        <v>#N/A</v>
      </c>
      <c r="W193" s="300" t="e">
        <f t="shared" si="55"/>
        <v>#N/A</v>
      </c>
      <c r="X193" s="300" t="e">
        <f t="shared" si="55"/>
        <v>#N/A</v>
      </c>
      <c r="Y193" s="300" t="e">
        <f t="shared" si="55"/>
        <v>#N/A</v>
      </c>
      <c r="Z193" s="300" t="e">
        <f t="shared" si="55"/>
        <v>#N/A</v>
      </c>
      <c r="AA193" s="300" t="e">
        <f t="shared" si="55"/>
        <v>#N/A</v>
      </c>
      <c r="AB193" s="300" t="e">
        <f t="shared" si="55"/>
        <v>#N/A</v>
      </c>
      <c r="AC193" s="300" t="e">
        <f t="shared" si="55"/>
        <v>#N/A</v>
      </c>
      <c r="AD193" s="300" t="e">
        <f t="shared" si="55"/>
        <v>#N/A</v>
      </c>
      <c r="AE193" s="300" t="e">
        <f t="shared" si="55"/>
        <v>#N/A</v>
      </c>
      <c r="AF193" s="300" t="e">
        <f t="shared" si="55"/>
        <v>#N/A</v>
      </c>
    </row>
    <row r="194" spans="2:32" ht="12.75">
      <c r="B194" s="85" t="s">
        <v>226</v>
      </c>
      <c r="C194" s="86" t="e">
        <f>SUM(C193:L193)</f>
        <v>#N/A</v>
      </c>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301"/>
      <c r="AD194" s="301"/>
      <c r="AE194" s="301"/>
      <c r="AF194" s="301"/>
    </row>
    <row r="195" ht="12.75">
      <c r="B195" s="81" t="s">
        <v>445</v>
      </c>
    </row>
    <row r="196" spans="2:32" ht="12.75">
      <c r="B196" s="82" t="s">
        <v>347</v>
      </c>
      <c r="C196" s="298" t="e">
        <f aca="true" t="shared" si="56" ref="C196:AF196">(C28+C95)-C144</f>
        <v>#N/A</v>
      </c>
      <c r="D196" s="298" t="e">
        <f t="shared" si="56"/>
        <v>#N/A</v>
      </c>
      <c r="E196" s="298" t="e">
        <f t="shared" si="56"/>
        <v>#N/A</v>
      </c>
      <c r="F196" s="298" t="e">
        <f t="shared" si="56"/>
        <v>#N/A</v>
      </c>
      <c r="G196" s="298" t="e">
        <f t="shared" si="56"/>
        <v>#N/A</v>
      </c>
      <c r="H196" s="298" t="e">
        <f t="shared" si="56"/>
        <v>#N/A</v>
      </c>
      <c r="I196" s="298" t="e">
        <f t="shared" si="56"/>
        <v>#N/A</v>
      </c>
      <c r="J196" s="298" t="e">
        <f t="shared" si="56"/>
        <v>#N/A</v>
      </c>
      <c r="K196" s="298" t="e">
        <f t="shared" si="56"/>
        <v>#N/A</v>
      </c>
      <c r="L196" s="298" t="e">
        <f t="shared" si="56"/>
        <v>#N/A</v>
      </c>
      <c r="M196" s="298" t="e">
        <f t="shared" si="56"/>
        <v>#N/A</v>
      </c>
      <c r="N196" s="298" t="e">
        <f t="shared" si="56"/>
        <v>#N/A</v>
      </c>
      <c r="O196" s="298" t="e">
        <f t="shared" si="56"/>
        <v>#N/A</v>
      </c>
      <c r="P196" s="298" t="e">
        <f t="shared" si="56"/>
        <v>#N/A</v>
      </c>
      <c r="Q196" s="298" t="e">
        <f t="shared" si="56"/>
        <v>#N/A</v>
      </c>
      <c r="R196" s="298" t="e">
        <f t="shared" si="56"/>
        <v>#N/A</v>
      </c>
      <c r="S196" s="298" t="e">
        <f t="shared" si="56"/>
        <v>#N/A</v>
      </c>
      <c r="T196" s="298" t="e">
        <f t="shared" si="56"/>
        <v>#N/A</v>
      </c>
      <c r="U196" s="298" t="e">
        <f t="shared" si="56"/>
        <v>#N/A</v>
      </c>
      <c r="V196" s="298" t="e">
        <f t="shared" si="56"/>
        <v>#N/A</v>
      </c>
      <c r="W196" s="298" t="e">
        <f t="shared" si="56"/>
        <v>#N/A</v>
      </c>
      <c r="X196" s="298" t="e">
        <f t="shared" si="56"/>
        <v>#N/A</v>
      </c>
      <c r="Y196" s="298" t="e">
        <f t="shared" si="56"/>
        <v>#N/A</v>
      </c>
      <c r="Z196" s="298" t="e">
        <f t="shared" si="56"/>
        <v>#N/A</v>
      </c>
      <c r="AA196" s="298" t="e">
        <f t="shared" si="56"/>
        <v>#N/A</v>
      </c>
      <c r="AB196" s="298" t="e">
        <f t="shared" si="56"/>
        <v>#N/A</v>
      </c>
      <c r="AC196" s="298" t="e">
        <f t="shared" si="56"/>
        <v>#N/A</v>
      </c>
      <c r="AD196" s="298" t="e">
        <f t="shared" si="56"/>
        <v>#N/A</v>
      </c>
      <c r="AE196" s="298" t="e">
        <f t="shared" si="56"/>
        <v>#N/A</v>
      </c>
      <c r="AF196" s="298" t="e">
        <f t="shared" si="56"/>
        <v>#N/A</v>
      </c>
    </row>
    <row r="197" spans="2:32" ht="12.75">
      <c r="B197" s="83" t="s">
        <v>348</v>
      </c>
      <c r="C197" s="299">
        <f>C192</f>
        <v>1</v>
      </c>
      <c r="D197" s="299">
        <f aca="true" t="shared" si="57" ref="D197:AF197">D192</f>
        <v>0.9174311926605504</v>
      </c>
      <c r="E197" s="299">
        <f t="shared" si="57"/>
        <v>0.84167999326656</v>
      </c>
      <c r="F197" s="299">
        <f t="shared" si="57"/>
        <v>0.7721834800610642</v>
      </c>
      <c r="G197" s="299">
        <f t="shared" si="57"/>
        <v>0.7084252110651964</v>
      </c>
      <c r="H197" s="299">
        <f t="shared" si="57"/>
        <v>0.6499313862983452</v>
      </c>
      <c r="I197" s="299">
        <f t="shared" si="57"/>
        <v>0.5962673268792158</v>
      </c>
      <c r="J197" s="299">
        <f t="shared" si="57"/>
        <v>0.5470342448433173</v>
      </c>
      <c r="K197" s="299">
        <f t="shared" si="57"/>
        <v>0.5018662796727681</v>
      </c>
      <c r="L197" s="299">
        <f t="shared" si="57"/>
        <v>0.460427779516301</v>
      </c>
      <c r="M197" s="299">
        <f t="shared" si="57"/>
        <v>0.42241080689568894</v>
      </c>
      <c r="N197" s="299">
        <f t="shared" si="57"/>
        <v>0.3875328503630174</v>
      </c>
      <c r="O197" s="299">
        <f t="shared" si="57"/>
        <v>0.35553472510368567</v>
      </c>
      <c r="P197" s="299">
        <f t="shared" si="57"/>
        <v>0.32617864688411524</v>
      </c>
      <c r="Q197" s="299">
        <f t="shared" si="57"/>
        <v>0.29924646503129837</v>
      </c>
      <c r="R197" s="299">
        <f t="shared" si="57"/>
        <v>0.27453804131311776</v>
      </c>
      <c r="S197" s="299">
        <f t="shared" si="57"/>
        <v>0.2518697626725851</v>
      </c>
      <c r="T197" s="299">
        <f t="shared" si="57"/>
        <v>0.23107317676383954</v>
      </c>
      <c r="U197" s="299">
        <f t="shared" si="57"/>
        <v>0.21199374015031147</v>
      </c>
      <c r="V197" s="299">
        <f t="shared" si="57"/>
        <v>0.19448966986267105</v>
      </c>
      <c r="W197" s="299">
        <f t="shared" si="57"/>
        <v>0.17843088978226704</v>
      </c>
      <c r="X197" s="299">
        <f t="shared" si="57"/>
        <v>0.16369806402042844</v>
      </c>
      <c r="Y197" s="299">
        <f t="shared" si="57"/>
        <v>0.1501817101104848</v>
      </c>
      <c r="Z197" s="299">
        <f t="shared" si="57"/>
        <v>0.13778138542246313</v>
      </c>
      <c r="AA197" s="299">
        <f t="shared" si="57"/>
        <v>0.12640494075455333</v>
      </c>
      <c r="AB197" s="299">
        <f t="shared" si="57"/>
        <v>0.11596783555463605</v>
      </c>
      <c r="AC197" s="299">
        <f t="shared" si="57"/>
        <v>0.10639250968315234</v>
      </c>
      <c r="AD197" s="299">
        <f t="shared" si="57"/>
        <v>0.09760780704876361</v>
      </c>
      <c r="AE197" s="299">
        <f t="shared" si="57"/>
        <v>0.08954844683372809</v>
      </c>
      <c r="AF197" s="299">
        <f t="shared" si="57"/>
        <v>0.08215453837956704</v>
      </c>
    </row>
    <row r="198" spans="2:32" ht="12.75">
      <c r="B198" s="84" t="s">
        <v>349</v>
      </c>
      <c r="C198" s="300" t="e">
        <f aca="true" t="shared" si="58" ref="C198:AF198">C196*C197</f>
        <v>#N/A</v>
      </c>
      <c r="D198" s="300" t="e">
        <f t="shared" si="58"/>
        <v>#N/A</v>
      </c>
      <c r="E198" s="300" t="e">
        <f t="shared" si="58"/>
        <v>#N/A</v>
      </c>
      <c r="F198" s="300" t="e">
        <f t="shared" si="58"/>
        <v>#N/A</v>
      </c>
      <c r="G198" s="300" t="e">
        <f t="shared" si="58"/>
        <v>#N/A</v>
      </c>
      <c r="H198" s="300" t="e">
        <f t="shared" si="58"/>
        <v>#N/A</v>
      </c>
      <c r="I198" s="300" t="e">
        <f t="shared" si="58"/>
        <v>#N/A</v>
      </c>
      <c r="J198" s="300" t="e">
        <f t="shared" si="58"/>
        <v>#N/A</v>
      </c>
      <c r="K198" s="300" t="e">
        <f t="shared" si="58"/>
        <v>#N/A</v>
      </c>
      <c r="L198" s="300" t="e">
        <f t="shared" si="58"/>
        <v>#N/A</v>
      </c>
      <c r="M198" s="300" t="e">
        <f t="shared" si="58"/>
        <v>#N/A</v>
      </c>
      <c r="N198" s="300" t="e">
        <f t="shared" si="58"/>
        <v>#N/A</v>
      </c>
      <c r="O198" s="300" t="e">
        <f t="shared" si="58"/>
        <v>#N/A</v>
      </c>
      <c r="P198" s="300" t="e">
        <f t="shared" si="58"/>
        <v>#N/A</v>
      </c>
      <c r="Q198" s="300" t="e">
        <f t="shared" si="58"/>
        <v>#N/A</v>
      </c>
      <c r="R198" s="300" t="e">
        <f t="shared" si="58"/>
        <v>#N/A</v>
      </c>
      <c r="S198" s="300" t="e">
        <f t="shared" si="58"/>
        <v>#N/A</v>
      </c>
      <c r="T198" s="300" t="e">
        <f t="shared" si="58"/>
        <v>#N/A</v>
      </c>
      <c r="U198" s="300" t="e">
        <f t="shared" si="58"/>
        <v>#N/A</v>
      </c>
      <c r="V198" s="300" t="e">
        <f t="shared" si="58"/>
        <v>#N/A</v>
      </c>
      <c r="W198" s="300" t="e">
        <f t="shared" si="58"/>
        <v>#N/A</v>
      </c>
      <c r="X198" s="300" t="e">
        <f t="shared" si="58"/>
        <v>#N/A</v>
      </c>
      <c r="Y198" s="300" t="e">
        <f t="shared" si="58"/>
        <v>#N/A</v>
      </c>
      <c r="Z198" s="300" t="e">
        <f t="shared" si="58"/>
        <v>#N/A</v>
      </c>
      <c r="AA198" s="300" t="e">
        <f t="shared" si="58"/>
        <v>#N/A</v>
      </c>
      <c r="AB198" s="300" t="e">
        <f t="shared" si="58"/>
        <v>#N/A</v>
      </c>
      <c r="AC198" s="300" t="e">
        <f t="shared" si="58"/>
        <v>#N/A</v>
      </c>
      <c r="AD198" s="300" t="e">
        <f t="shared" si="58"/>
        <v>#N/A</v>
      </c>
      <c r="AE198" s="300" t="e">
        <f t="shared" si="58"/>
        <v>#N/A</v>
      </c>
      <c r="AF198" s="300" t="e">
        <f t="shared" si="58"/>
        <v>#N/A</v>
      </c>
    </row>
    <row r="199" spans="2:32" ht="12.75">
      <c r="B199" s="85" t="s">
        <v>226</v>
      </c>
      <c r="C199" s="86" t="e">
        <f>SUM(C198:L198)</f>
        <v>#N/A</v>
      </c>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row>
  </sheetData>
  <sheetProtection/>
  <dataValidations count="2">
    <dataValidation type="list" allowBlank="1" showInputMessage="1" showErrorMessage="1" sqref="C93 C26">
      <formula1>IAG</formula1>
    </dataValidation>
    <dataValidation type="whole" operator="greaterThanOrEqual" allowBlank="1" showInputMessage="1" showErrorMessage="1" sqref="C58:D80">
      <formula1>0</formula1>
    </dataValidation>
  </dataValidations>
  <printOptions/>
  <pageMargins left="0.75" right="0.75" top="1" bottom="1" header="0.5" footer="0.5"/>
  <pageSetup orientation="portrait" paperSize="9"/>
  <ignoredErrors>
    <ignoredError sqref="F22" formula="1"/>
  </ignoredErrors>
  <legacyDrawing r:id="rId2"/>
</worksheet>
</file>

<file path=xl/worksheets/sheet8.xml><?xml version="1.0" encoding="utf-8"?>
<worksheet xmlns="http://schemas.openxmlformats.org/spreadsheetml/2006/main" xmlns:r="http://schemas.openxmlformats.org/officeDocument/2006/relationships">
  <sheetPr codeName="Sheet8">
    <tabColor rgb="FF92D050"/>
  </sheetPr>
  <dimension ref="B2:H30"/>
  <sheetViews>
    <sheetView zoomScalePageLayoutView="0" workbookViewId="0" topLeftCell="A1">
      <selection activeCell="E7" sqref="E7"/>
    </sheetView>
  </sheetViews>
  <sheetFormatPr defaultColWidth="9.140625" defaultRowHeight="12.75"/>
  <cols>
    <col min="1" max="2" width="9.140625" style="39" customWidth="1"/>
    <col min="3" max="3" width="30.421875" style="228" customWidth="1"/>
    <col min="4" max="6" width="9.140625" style="39" customWidth="1"/>
    <col min="7" max="7" width="11.8515625" style="39" customWidth="1"/>
    <col min="8" max="8" width="11.140625" style="39" customWidth="1"/>
    <col min="9" max="16384" width="9.140625" style="39" customWidth="1"/>
  </cols>
  <sheetData>
    <row r="2" spans="6:8" ht="12.75">
      <c r="F2" s="54"/>
      <c r="G2" s="54"/>
      <c r="H2" s="54"/>
    </row>
    <row r="3" spans="2:8" ht="12.75">
      <c r="B3" s="39" t="s">
        <v>52</v>
      </c>
      <c r="C3" s="228" t="s">
        <v>47</v>
      </c>
      <c r="D3" s="42">
        <v>0.2</v>
      </c>
      <c r="E3" s="39" t="s">
        <v>617</v>
      </c>
      <c r="F3" s="42"/>
      <c r="G3" s="42"/>
      <c r="H3" s="42"/>
    </row>
    <row r="5" spans="2:5" ht="12.75">
      <c r="B5" s="39" t="s">
        <v>53</v>
      </c>
      <c r="C5" s="228" t="s">
        <v>47</v>
      </c>
      <c r="D5" s="39">
        <v>0.1</v>
      </c>
      <c r="E5" s="39" t="s">
        <v>616</v>
      </c>
    </row>
    <row r="7" spans="3:5" ht="12.75">
      <c r="C7" s="228" t="s">
        <v>260</v>
      </c>
      <c r="D7" s="39">
        <v>0.9</v>
      </c>
      <c r="E7" s="39" t="s">
        <v>612</v>
      </c>
    </row>
    <row r="9" spans="3:5" ht="12.75">
      <c r="C9" s="228" t="s">
        <v>261</v>
      </c>
      <c r="D9" s="39">
        <v>0.85</v>
      </c>
      <c r="E9" s="39" t="s">
        <v>389</v>
      </c>
    </row>
    <row r="11" spans="3:5" ht="12.75">
      <c r="C11" s="228" t="s">
        <v>260</v>
      </c>
      <c r="D11" s="39">
        <v>0.9</v>
      </c>
      <c r="E11" s="39" t="s">
        <v>612</v>
      </c>
    </row>
    <row r="13" spans="3:5" ht="12.75">
      <c r="C13" s="228" t="s">
        <v>577</v>
      </c>
      <c r="D13" s="39">
        <v>0.85</v>
      </c>
      <c r="E13" s="39" t="s">
        <v>580</v>
      </c>
    </row>
    <row r="15" spans="3:4" ht="12.75">
      <c r="C15" s="228" t="s">
        <v>59</v>
      </c>
      <c r="D15" s="42">
        <f ca="1">YEAR(TODAY())</f>
        <v>2014</v>
      </c>
    </row>
    <row r="18" ht="38.25">
      <c r="C18" s="228" t="s">
        <v>109</v>
      </c>
    </row>
    <row r="20" spans="3:5" ht="12.75">
      <c r="C20" s="228" t="s">
        <v>613</v>
      </c>
      <c r="D20" s="302">
        <v>0.09</v>
      </c>
      <c r="E20" s="39" t="s">
        <v>614</v>
      </c>
    </row>
    <row r="22" ht="38.25">
      <c r="C22" s="228" t="s">
        <v>110</v>
      </c>
    </row>
    <row r="25" ht="12.75">
      <c r="D25" s="39" t="s">
        <v>144</v>
      </c>
    </row>
    <row r="26" spans="3:4" ht="12.75">
      <c r="C26" s="303" t="str">
        <f>Lists!Q6</f>
        <v>Detached house</v>
      </c>
      <c r="D26" s="39">
        <v>8</v>
      </c>
    </row>
    <row r="27" spans="3:4" ht="12.75">
      <c r="C27" s="303" t="str">
        <f>Lists!Q7</f>
        <v>Semi detached house (end terrace)</v>
      </c>
      <c r="D27" s="39">
        <v>7</v>
      </c>
    </row>
    <row r="28" spans="3:4" ht="12.75">
      <c r="C28" s="303" t="str">
        <f>Lists!Q8</f>
        <v>Terraced house</v>
      </c>
      <c r="D28" s="39">
        <v>7</v>
      </c>
    </row>
    <row r="29" spans="3:7" ht="12.75">
      <c r="C29" s="303" t="str">
        <f>Lists!Q9</f>
        <v>Flat</v>
      </c>
      <c r="D29" s="39">
        <v>6</v>
      </c>
      <c r="G29" s="42"/>
    </row>
    <row r="30" ht="12.75">
      <c r="D30" s="39" t="s">
        <v>615</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tabColor rgb="FF92D050"/>
  </sheetPr>
  <dimension ref="B2:U45"/>
  <sheetViews>
    <sheetView zoomScale="90" zoomScaleNormal="90" zoomScalePageLayoutView="0" workbookViewId="0" topLeftCell="C1">
      <selection activeCell="F14" sqref="F14"/>
    </sheetView>
  </sheetViews>
  <sheetFormatPr defaultColWidth="9.140625" defaultRowHeight="12.75"/>
  <cols>
    <col min="1" max="1" width="9.140625" style="39" customWidth="1"/>
    <col min="2" max="2" width="12.7109375" style="39" bestFit="1" customWidth="1"/>
    <col min="3" max="3" width="33.28125" style="39" bestFit="1" customWidth="1"/>
    <col min="4" max="4" width="11.57421875" style="39" customWidth="1"/>
    <col min="5" max="5" width="9.140625" style="39" customWidth="1"/>
    <col min="6" max="6" width="14.57421875" style="39" customWidth="1"/>
    <col min="7" max="7" width="11.421875" style="39" customWidth="1"/>
    <col min="8" max="9" width="9.140625" style="39" customWidth="1"/>
    <col min="10" max="10" width="12.28125" style="39" customWidth="1"/>
    <col min="11" max="12" width="2.00390625" style="39" bestFit="1" customWidth="1"/>
    <col min="13" max="13" width="9.140625" style="39" customWidth="1"/>
    <col min="14" max="14" width="20.421875" style="39" customWidth="1"/>
    <col min="15" max="19" width="9.140625" style="39" customWidth="1"/>
    <col min="20" max="20" width="12.00390625" style="39" customWidth="1"/>
    <col min="21" max="21" width="39.421875" style="39" customWidth="1"/>
    <col min="22" max="16384" width="9.140625" style="39" customWidth="1"/>
  </cols>
  <sheetData>
    <row r="2" spans="2:6" ht="12.75">
      <c r="B2" s="39" t="s">
        <v>1</v>
      </c>
      <c r="E2" s="155" t="s">
        <v>36</v>
      </c>
      <c r="F2" s="154">
        <f>'User Interface'!$C$11</f>
        <v>0</v>
      </c>
    </row>
    <row r="3" spans="5:6" ht="12.75">
      <c r="E3" s="155" t="s">
        <v>535</v>
      </c>
      <c r="F3" s="154">
        <f>'User Interface'!$C$17</f>
        <v>0</v>
      </c>
    </row>
    <row r="4" spans="2:13" ht="12.75">
      <c r="B4" s="39" t="s">
        <v>2</v>
      </c>
      <c r="M4" s="39" t="s">
        <v>35</v>
      </c>
    </row>
    <row r="5" spans="2:20" ht="63.75">
      <c r="B5" s="39" t="s">
        <v>3</v>
      </c>
      <c r="C5" s="39" t="s">
        <v>4</v>
      </c>
      <c r="D5" s="54" t="s">
        <v>5</v>
      </c>
      <c r="E5" s="54" t="s">
        <v>34</v>
      </c>
      <c r="F5" s="54" t="s">
        <v>75</v>
      </c>
      <c r="G5" s="54" t="s">
        <v>43</v>
      </c>
      <c r="H5" s="54"/>
      <c r="I5" s="54" t="s">
        <v>74</v>
      </c>
      <c r="J5" s="54" t="s">
        <v>407</v>
      </c>
      <c r="M5" s="39" t="s">
        <v>36</v>
      </c>
      <c r="N5" s="39" t="s">
        <v>4</v>
      </c>
      <c r="O5" s="39" t="s">
        <v>42</v>
      </c>
      <c r="T5" s="54" t="s">
        <v>318</v>
      </c>
    </row>
    <row r="6" spans="2:21" ht="63.75">
      <c r="B6" s="39">
        <v>1</v>
      </c>
      <c r="C6" s="54" t="str">
        <f>Controller!C43</f>
        <v>General office, public waiting or circulation areas</v>
      </c>
      <c r="D6" s="39">
        <v>120</v>
      </c>
      <c r="E6" s="39">
        <v>55</v>
      </c>
      <c r="F6" s="39" t="e">
        <f aca="true" t="shared" si="0" ref="F6:F34">(D6*(1-0.01*E6))+IF($F$3="Yes",0,(0.01*E6*D6*(1+0.01*VLOOKUP($F$2,$N$6:$O$23,2,0))))</f>
        <v>#N/A</v>
      </c>
      <c r="G6" s="39">
        <v>95</v>
      </c>
      <c r="H6" s="39">
        <v>0</v>
      </c>
      <c r="I6" s="39" t="e">
        <f>(G6*(1-0.01*H6))+(0.01*H6*G6*(1+0.01*VLOOKUP($F$2,$N$6:$O$23,2,0)))</f>
        <v>#N/A</v>
      </c>
      <c r="J6" s="39" t="e">
        <f>IF('User Interface'!$C$99="Landlord's space",(0.01*E6*D6*(1+0.01*VLOOKUP($F$2,$N$6:$O$23,2,0))),IF('User Interface'!$C$100=Lists!$AA$37,(0.01*E6*D6*(1+0.01*VLOOKUP($F$2,$N$6:$O$23,2,0))),F6))</f>
        <v>#N/A</v>
      </c>
      <c r="M6" s="39">
        <v>1</v>
      </c>
      <c r="N6" s="39" t="str">
        <f>Lists!D6</f>
        <v>Thames</v>
      </c>
      <c r="O6" s="39">
        <v>-15</v>
      </c>
      <c r="Q6" s="39">
        <f>(1-0.01*E6)</f>
        <v>0.44999999999999996</v>
      </c>
      <c r="T6" s="55">
        <v>18</v>
      </c>
      <c r="U6" s="54" t="s">
        <v>320</v>
      </c>
    </row>
    <row r="7" spans="2:21" ht="12.75">
      <c r="B7" s="39">
        <v>2</v>
      </c>
      <c r="C7" s="39" t="str">
        <f>Controller!C44</f>
        <v>High street agency</v>
      </c>
      <c r="D7" s="327">
        <v>120</v>
      </c>
      <c r="E7" s="327">
        <v>55</v>
      </c>
      <c r="F7" s="39" t="e">
        <f t="shared" si="0"/>
        <v>#N/A</v>
      </c>
      <c r="G7" s="39">
        <v>140</v>
      </c>
      <c r="H7" s="39">
        <v>20</v>
      </c>
      <c r="I7" s="39" t="e">
        <f aca="true" t="shared" si="1" ref="I7:I34">(G7*(1-0.01*H7))+(0.01*H7*G7*(1+0.01*VLOOKUP($F$2,$N$6:$O$23,2,0)))</f>
        <v>#N/A</v>
      </c>
      <c r="J7" s="39" t="e">
        <f>IF('User Interface'!$C$99="Landlord's space",(0.01*E7*D7*(1+0.01*VLOOKUP($F$2,$N$6:$O$23,2,0))),IF('User Interface'!$C$100=Lists!$AA$37,(0.01*E7*D7*(1+0.01*VLOOKUP($F$2,$N$6:$O$23,2,0))),F7))</f>
        <v>#N/A</v>
      </c>
      <c r="M7" s="39">
        <v>2</v>
      </c>
      <c r="N7" s="39" t="str">
        <f>Lists!D7</f>
        <v>South East England</v>
      </c>
      <c r="O7" s="39">
        <v>0</v>
      </c>
      <c r="T7" s="121">
        <v>12</v>
      </c>
      <c r="U7" s="39" t="s">
        <v>319</v>
      </c>
    </row>
    <row r="8" spans="2:17" ht="12.75">
      <c r="B8" s="39">
        <v>3</v>
      </c>
      <c r="C8" s="39" t="str">
        <f>Controller!C45</f>
        <v>General retail</v>
      </c>
      <c r="D8" s="328">
        <v>170</v>
      </c>
      <c r="E8" s="328">
        <v>55</v>
      </c>
      <c r="F8" s="39" t="e">
        <f t="shared" si="0"/>
        <v>#N/A</v>
      </c>
      <c r="G8" s="39">
        <v>165</v>
      </c>
      <c r="H8" s="39">
        <v>15</v>
      </c>
      <c r="I8" s="39" t="e">
        <f t="shared" si="1"/>
        <v>#N/A</v>
      </c>
      <c r="J8" s="39" t="e">
        <f>IF('User Interface'!$C$99="Landlord's space",(0.01*E8*D8*(1+0.01*VLOOKUP($F$2,$N$6:$O$23,2,0))),IF('User Interface'!$C$100=Lists!$AA$37,(0.01*E8*D8*(1+0.01*VLOOKUP($F$2,$N$6:$O$23,2,0))),F8))</f>
        <v>#N/A</v>
      </c>
      <c r="M8" s="39">
        <v>3</v>
      </c>
      <c r="N8" s="39" t="str">
        <f>Lists!D8</f>
        <v>Southern England</v>
      </c>
      <c r="O8" s="39">
        <v>-5</v>
      </c>
      <c r="Q8" s="39" t="e">
        <f>VLOOKUP($F$2,$N$6:$O$23,2,0)</f>
        <v>#N/A</v>
      </c>
    </row>
    <row r="9" spans="2:15" ht="12.75">
      <c r="B9" s="39">
        <v>4</v>
      </c>
      <c r="C9" s="39" t="str">
        <f>Controller!C46</f>
        <v>Large non-food shop</v>
      </c>
      <c r="D9" s="39">
        <v>170</v>
      </c>
      <c r="E9" s="39">
        <v>55</v>
      </c>
      <c r="F9" s="39" t="e">
        <f t="shared" si="0"/>
        <v>#N/A</v>
      </c>
      <c r="G9" s="39">
        <v>70</v>
      </c>
      <c r="H9" s="39">
        <v>0</v>
      </c>
      <c r="I9" s="39" t="e">
        <f t="shared" si="1"/>
        <v>#N/A</v>
      </c>
      <c r="J9" s="39" t="e">
        <f>IF('User Interface'!$C$99="Landlord's space",(0.01*E9*D9*(1+0.01*VLOOKUP($F$2,$N$6:$O$23,2,0))),IF('User Interface'!$C$100=Lists!$AA$37,(0.01*E9*D9*(1+0.01*VLOOKUP($F$2,$N$6:$O$23,2,0))),F9))</f>
        <v>#N/A</v>
      </c>
      <c r="M9" s="39">
        <v>4</v>
      </c>
      <c r="N9" s="39" t="str">
        <f>Lists!D9</f>
        <v>South West England</v>
      </c>
      <c r="O9" s="39">
        <v>-18</v>
      </c>
    </row>
    <row r="10" spans="2:15" ht="12.75">
      <c r="B10" s="39">
        <v>5</v>
      </c>
      <c r="C10" s="39" t="str">
        <f>Controller!C47</f>
        <v>Small food store</v>
      </c>
      <c r="D10" s="329">
        <v>170</v>
      </c>
      <c r="E10" s="329">
        <v>55</v>
      </c>
      <c r="F10" s="39" t="e">
        <f t="shared" si="0"/>
        <v>#N/A</v>
      </c>
      <c r="G10" s="39">
        <v>310</v>
      </c>
      <c r="H10" s="39">
        <v>15</v>
      </c>
      <c r="I10" s="39" t="e">
        <f t="shared" si="1"/>
        <v>#N/A</v>
      </c>
      <c r="J10" s="39" t="e">
        <f>IF('User Interface'!$C$99="Landlord's space",(0.01*E10*D10*(1+0.01*VLOOKUP($F$2,$N$6:$O$23,2,0))),IF('User Interface'!$C$100=Lists!$AA$37,(0.01*E10*D10*(1+0.01*VLOOKUP($F$2,$N$6:$O$23,2,0))),F10))</f>
        <v>#N/A</v>
      </c>
      <c r="M10" s="39">
        <v>5</v>
      </c>
      <c r="N10" s="39" t="str">
        <f>Lists!D10</f>
        <v>Severn</v>
      </c>
      <c r="O10" s="39">
        <v>-12</v>
      </c>
    </row>
    <row r="11" spans="2:15" ht="25.5">
      <c r="B11" s="39">
        <v>6</v>
      </c>
      <c r="C11" s="54" t="str">
        <f>Controller!C48</f>
        <v>Large food store and Public buildings with light usage</v>
      </c>
      <c r="D11" s="39">
        <v>105</v>
      </c>
      <c r="E11" s="39">
        <v>55</v>
      </c>
      <c r="F11" s="39" t="e">
        <f t="shared" si="0"/>
        <v>#N/A</v>
      </c>
      <c r="G11" s="39">
        <v>400</v>
      </c>
      <c r="H11" s="39">
        <v>0</v>
      </c>
      <c r="I11" s="39" t="e">
        <f t="shared" si="1"/>
        <v>#N/A</v>
      </c>
      <c r="J11" s="39" t="e">
        <f>IF('User Interface'!$C$99="Landlord's space",(0.01*E11*D11*(1+0.01*VLOOKUP($F$2,$N$6:$O$23,2,0))),IF('User Interface'!$C$100=Lists!$AA$37,(0.01*E11*D11*(1+0.01*VLOOKUP($F$2,$N$6:$O$23,2,0))),F11))</f>
        <v>#N/A</v>
      </c>
      <c r="M11" s="39">
        <v>6</v>
      </c>
      <c r="N11" s="39" t="str">
        <f>Lists!D11</f>
        <v>Midlands</v>
      </c>
      <c r="O11" s="39">
        <v>3</v>
      </c>
    </row>
    <row r="12" spans="2:15" ht="12.75">
      <c r="B12" s="39">
        <v>7</v>
      </c>
      <c r="C12" s="39" t="str">
        <f>Controller!C49</f>
        <v>Restaurant</v>
      </c>
      <c r="D12" s="39">
        <v>370</v>
      </c>
      <c r="E12" s="39">
        <v>30</v>
      </c>
      <c r="F12" s="39" t="e">
        <f t="shared" si="0"/>
        <v>#N/A</v>
      </c>
      <c r="G12" s="39">
        <v>90</v>
      </c>
      <c r="H12" s="39">
        <v>20</v>
      </c>
      <c r="I12" s="39" t="e">
        <f t="shared" si="1"/>
        <v>#N/A</v>
      </c>
      <c r="J12" s="39" t="e">
        <f>IF('User Interface'!$C$99="Landlord's space",(0.01*E12*D12*(1+0.01*VLOOKUP($F$2,$N$6:$O$23,2,0))),IF('User Interface'!$C$100=Lists!$AA$37,(0.01*E12*D12*(1+0.01*VLOOKUP($F$2,$N$6:$O$23,2,0))),F12))</f>
        <v>#N/A</v>
      </c>
      <c r="M12" s="39">
        <v>7</v>
      </c>
      <c r="N12" s="39" t="str">
        <f>Lists!D12</f>
        <v>West Pennines</v>
      </c>
      <c r="O12" s="39">
        <v>1</v>
      </c>
    </row>
    <row r="13" spans="2:15" ht="12.75">
      <c r="B13" s="39">
        <v>8</v>
      </c>
      <c r="C13" s="39" t="str">
        <f>Controller!C50</f>
        <v>Bar, pub or licensed club</v>
      </c>
      <c r="D13" s="39">
        <v>350</v>
      </c>
      <c r="E13" s="39">
        <v>40</v>
      </c>
      <c r="F13" s="39" t="e">
        <f t="shared" si="0"/>
        <v>#N/A</v>
      </c>
      <c r="G13" s="39">
        <v>130</v>
      </c>
      <c r="H13" s="39">
        <v>0</v>
      </c>
      <c r="I13" s="39" t="e">
        <f t="shared" si="1"/>
        <v>#N/A</v>
      </c>
      <c r="J13" s="39" t="e">
        <f>IF('User Interface'!$C$99="Landlord's space",(0.01*E13*D13*(1+0.01*VLOOKUP($F$2,$N$6:$O$23,2,0))),IF('User Interface'!$C$100=Lists!$AA$37,(0.01*E13*D13*(1+0.01*VLOOKUP($F$2,$N$6:$O$23,2,0))),F13))</f>
        <v>#N/A</v>
      </c>
      <c r="M13" s="39">
        <v>8</v>
      </c>
      <c r="N13" s="39" t="str">
        <f>Lists!D13</f>
        <v>NW England / SW Scotland</v>
      </c>
      <c r="O13" s="39">
        <v>13</v>
      </c>
    </row>
    <row r="14" spans="2:21" ht="12.75">
      <c r="B14" s="39">
        <v>9</v>
      </c>
      <c r="C14" s="39" t="str">
        <f>Controller!C51</f>
        <v>Hotel</v>
      </c>
      <c r="D14" s="39">
        <v>330</v>
      </c>
      <c r="E14" s="39">
        <v>45</v>
      </c>
      <c r="F14" s="39" t="e">
        <f t="shared" si="0"/>
        <v>#N/A</v>
      </c>
      <c r="G14" s="39">
        <v>105</v>
      </c>
      <c r="H14" s="39">
        <v>0</v>
      </c>
      <c r="I14" s="39" t="e">
        <f t="shared" si="1"/>
        <v>#N/A</v>
      </c>
      <c r="J14" s="39" t="e">
        <f>IF('User Interface'!$C$99="Landlord's space",(0.01*E14*D14*(1+0.01*VLOOKUP($F$2,$N$6:$O$23,2,0))),IF('User Interface'!$C$100=Lists!$AA$37,(0.01*E14*D14*(1+0.01*VLOOKUP($F$2,$N$6:$O$23,2,0))),F14))</f>
        <v>#N/A</v>
      </c>
      <c r="M14" s="39">
        <v>9</v>
      </c>
      <c r="N14" s="39" t="str">
        <f>Lists!D14</f>
        <v>Borders</v>
      </c>
      <c r="O14" s="39">
        <v>12</v>
      </c>
      <c r="T14" s="121">
        <f>25/58</f>
        <v>0.43103448275862066</v>
      </c>
      <c r="U14" s="39" t="s">
        <v>578</v>
      </c>
    </row>
    <row r="15" spans="2:15" ht="25.5">
      <c r="B15" s="39">
        <v>10</v>
      </c>
      <c r="C15" s="54" t="str">
        <f>Controller!C52</f>
        <v>Cultural activities, Clinics and Terminals</v>
      </c>
      <c r="D15" s="39">
        <v>200</v>
      </c>
      <c r="E15" s="39">
        <v>55</v>
      </c>
      <c r="F15" s="39" t="e">
        <f>(D15*(1-0.01*E15))+IF($F$3="Yes",0,(0.01*E15*D15*(1+0.01*VLOOKUP($F$2,$N$6:$O$23,2,0))))</f>
        <v>#N/A</v>
      </c>
      <c r="G15" s="39">
        <v>70</v>
      </c>
      <c r="H15" s="39">
        <v>0</v>
      </c>
      <c r="I15" s="39" t="e">
        <f t="shared" si="1"/>
        <v>#N/A</v>
      </c>
      <c r="J15" s="39" t="e">
        <f>IF('User Interface'!$C$99="Landlord's space",(0.01*E15*D15*(1+0.01*VLOOKUP($F$2,$N$6:$O$23,2,0))),IF('User Interface'!$C$100=Lists!$AA$37,(0.01*E15*D15*(1+0.01*VLOOKUP($F$2,$N$6:$O$23,2,0))),F15))</f>
        <v>#N/A</v>
      </c>
      <c r="M15" s="39">
        <v>10</v>
      </c>
      <c r="N15" s="39" t="str">
        <f>Lists!D15</f>
        <v>North East England</v>
      </c>
      <c r="O15" s="39">
        <v>11</v>
      </c>
    </row>
    <row r="16" spans="2:15" ht="38.25">
      <c r="B16" s="39">
        <v>11</v>
      </c>
      <c r="C16" s="54" t="str">
        <f>Controller!C53</f>
        <v>Entertainment halls, Hospital (clinical and research) and Long Term Residential buildings</v>
      </c>
      <c r="D16" s="39">
        <v>420</v>
      </c>
      <c r="E16" s="39">
        <v>55</v>
      </c>
      <c r="F16" s="39" t="e">
        <f t="shared" si="0"/>
        <v>#N/A</v>
      </c>
      <c r="G16" s="39">
        <v>150</v>
      </c>
      <c r="H16" s="39">
        <v>0</v>
      </c>
      <c r="I16" s="39" t="e">
        <f t="shared" si="1"/>
        <v>#N/A</v>
      </c>
      <c r="J16" s="39" t="e">
        <f>IF('User Interface'!$C$99="Landlord's space",(0.01*E16*D16*(1+0.01*VLOOKUP($F$2,$N$6:$O$23,2,0))),IF('User Interface'!$C$100=Lists!$AA$37,(0.01*E16*D16*(1+0.01*VLOOKUP($F$2,$N$6:$O$23,2,0))),F16))</f>
        <v>#N/A</v>
      </c>
      <c r="M16" s="39">
        <v>11</v>
      </c>
      <c r="N16" s="39" t="str">
        <f>Lists!D16</f>
        <v>East Pennines</v>
      </c>
      <c r="O16" s="39">
        <v>2</v>
      </c>
    </row>
    <row r="17" spans="2:15" ht="12.75">
      <c r="B17" s="39">
        <v>12</v>
      </c>
      <c r="C17" s="39" t="str">
        <f>Controller!C54</f>
        <v>Swimming pool centre</v>
      </c>
      <c r="D17" s="39">
        <v>1130</v>
      </c>
      <c r="E17" s="39">
        <v>55</v>
      </c>
      <c r="F17" s="39" t="e">
        <f t="shared" si="0"/>
        <v>#N/A</v>
      </c>
      <c r="G17" s="39">
        <v>245</v>
      </c>
      <c r="H17" s="39">
        <v>0</v>
      </c>
      <c r="I17" s="39" t="e">
        <f t="shared" si="1"/>
        <v>#N/A</v>
      </c>
      <c r="J17" s="39" t="e">
        <f>IF('User Interface'!$C$99="Landlord's space",(0.01*E17*D17*(1+0.01*VLOOKUP($F$2,$N$6:$O$23,2,0))),IF('User Interface'!$C$100=Lists!$AA$37,(0.01*E17*D17*(1+0.01*VLOOKUP($F$2,$N$6:$O$23,2,0))),F17))</f>
        <v>#N/A</v>
      </c>
      <c r="M17" s="39">
        <v>12</v>
      </c>
      <c r="N17" s="39" t="str">
        <f>Lists!D17</f>
        <v>East Anglia</v>
      </c>
      <c r="O17" s="39">
        <v>4</v>
      </c>
    </row>
    <row r="18" spans="2:16" ht="12.75">
      <c r="B18" s="39">
        <v>13</v>
      </c>
      <c r="C18" s="39" t="str">
        <f>Controller!C55</f>
        <v>Fitness and health centre</v>
      </c>
      <c r="D18" s="39">
        <v>440</v>
      </c>
      <c r="E18" s="39">
        <v>40</v>
      </c>
      <c r="F18" s="39" t="e">
        <f t="shared" si="0"/>
        <v>#N/A</v>
      </c>
      <c r="G18" s="39">
        <v>160</v>
      </c>
      <c r="H18" s="39">
        <v>0</v>
      </c>
      <c r="I18" s="39" t="e">
        <f t="shared" si="1"/>
        <v>#N/A</v>
      </c>
      <c r="J18" s="39" t="e">
        <f>IF('User Interface'!$C$99="Landlord's space",(0.01*E18*D18*(1+0.01*VLOOKUP($F$2,$N$6:$O$23,2,0))),IF('User Interface'!$C$100=Lists!$AA$37,(0.01*E18*D18*(1+0.01*VLOOKUP($F$2,$N$6:$O$23,2,0))),F18))</f>
        <v>#N/A</v>
      </c>
      <c r="M18" s="39">
        <v>13</v>
      </c>
      <c r="N18" s="39" t="str">
        <f>Lists!D18</f>
        <v>West Scotland</v>
      </c>
      <c r="O18" s="154">
        <f>O14</f>
        <v>12</v>
      </c>
      <c r="P18" s="39" t="s">
        <v>468</v>
      </c>
    </row>
    <row r="19" spans="2:16" ht="12.75">
      <c r="B19" s="39">
        <v>14</v>
      </c>
      <c r="C19" s="39" t="str">
        <f>Controller!C56</f>
        <v>Dry sports and leisure facility</v>
      </c>
      <c r="D19" s="39">
        <v>330</v>
      </c>
      <c r="E19" s="39">
        <v>55</v>
      </c>
      <c r="F19" s="39" t="e">
        <f t="shared" si="0"/>
        <v>#N/A</v>
      </c>
      <c r="G19" s="39">
        <v>95</v>
      </c>
      <c r="H19" s="39">
        <v>0</v>
      </c>
      <c r="I19" s="39" t="e">
        <f t="shared" si="1"/>
        <v>#N/A</v>
      </c>
      <c r="J19" s="39" t="e">
        <f>IF('User Interface'!$C$99="Landlord's space",(0.01*E19*D19*(1+0.01*VLOOKUP($F$2,$N$6:$O$23,2,0))),IF('User Interface'!$C$100=Lists!$AA$37,(0.01*E19*D19*(1+0.01*VLOOKUP($F$2,$N$6:$O$23,2,0))),F19))</f>
        <v>#N/A</v>
      </c>
      <c r="M19" s="39">
        <v>14</v>
      </c>
      <c r="N19" s="39" t="str">
        <f>Lists!D19</f>
        <v>East Scotland</v>
      </c>
      <c r="O19" s="154">
        <f>O18</f>
        <v>12</v>
      </c>
      <c r="P19" s="39" t="s">
        <v>468</v>
      </c>
    </row>
    <row r="20" spans="2:16" ht="12.75">
      <c r="B20" s="45">
        <v>15</v>
      </c>
      <c r="C20" s="45" t="s">
        <v>19</v>
      </c>
      <c r="D20" s="45">
        <v>0</v>
      </c>
      <c r="E20" s="45">
        <v>0</v>
      </c>
      <c r="F20" s="39" t="e">
        <f t="shared" si="0"/>
        <v>#N/A</v>
      </c>
      <c r="G20" s="45">
        <v>20</v>
      </c>
      <c r="H20" s="45">
        <v>0</v>
      </c>
      <c r="I20" s="45" t="e">
        <f t="shared" si="1"/>
        <v>#N/A</v>
      </c>
      <c r="J20" s="39" t="e">
        <f>IF('User Interface'!$C$99="Landlord's space",(0.01*E20*D20*(1+0.01*VLOOKUP($F$2,$N$6:$O$23,2,0))),IF('User Interface'!$C$100=Lists!$AA$37,(0.01*E20*D20*(1+0.01*VLOOKUP($F$2,$N$6:$O$23,2,0))),F20))</f>
        <v>#N/A</v>
      </c>
      <c r="M20" s="39">
        <v>15</v>
      </c>
      <c r="N20" s="39" t="str">
        <f>Lists!D20</f>
        <v>North East Scotland</v>
      </c>
      <c r="O20" s="154">
        <f>O19</f>
        <v>12</v>
      </c>
      <c r="P20" s="39" t="s">
        <v>468</v>
      </c>
    </row>
    <row r="21" spans="2:15" ht="12.75">
      <c r="B21" s="39">
        <v>16</v>
      </c>
      <c r="C21" s="118" t="s">
        <v>20</v>
      </c>
      <c r="D21" s="118">
        <v>105</v>
      </c>
      <c r="E21" s="118">
        <v>55</v>
      </c>
      <c r="F21" s="118" t="e">
        <f t="shared" si="0"/>
        <v>#N/A</v>
      </c>
      <c r="G21" s="118">
        <v>20</v>
      </c>
      <c r="H21" s="118">
        <v>0</v>
      </c>
      <c r="I21" s="118" t="e">
        <f t="shared" si="1"/>
        <v>#N/A</v>
      </c>
      <c r="J21" s="118" t="e">
        <f>IF('User Interface'!$C$99="Landlord's space",(0.01*E21*D21*(1+0.01*VLOOKUP($F$2,$N$6:$O$23,2,0))),IF('User Interface'!$C$100=Lists!$AA$37,(0.01*E21*D21*(1+0.01*VLOOKUP($F$2,$N$6:$O$23,2,0))),F21))</f>
        <v>#N/A</v>
      </c>
      <c r="M21" s="39">
        <v>16</v>
      </c>
      <c r="N21" s="39" t="str">
        <f>Lists!D21</f>
        <v>Wales</v>
      </c>
      <c r="O21" s="39">
        <v>-3</v>
      </c>
    </row>
    <row r="22" spans="2:15" ht="12.75">
      <c r="B22" s="39">
        <v>17</v>
      </c>
      <c r="C22" s="39" t="str">
        <f>Controller!C57</f>
        <v>Schools and seasonal public buildings</v>
      </c>
      <c r="D22" s="39">
        <v>150</v>
      </c>
      <c r="E22" s="39">
        <v>55</v>
      </c>
      <c r="F22" s="39" t="e">
        <f t="shared" si="0"/>
        <v>#N/A</v>
      </c>
      <c r="G22" s="39">
        <v>40</v>
      </c>
      <c r="H22" s="39">
        <v>0</v>
      </c>
      <c r="I22" s="39" t="e">
        <f t="shared" si="1"/>
        <v>#N/A</v>
      </c>
      <c r="J22" s="39" t="e">
        <f>IF('User Interface'!$C$99="Landlord's space",(0.01*E22*D22*(1+0.01*VLOOKUP($F$2,$N$6:$O$23,2,0))),IF('User Interface'!$C$100=Lists!$AA$37,(0.01*E22*D22*(1+0.01*VLOOKUP($F$2,$N$6:$O$23,2,0))),F22))</f>
        <v>#N/A</v>
      </c>
      <c r="M22" s="39">
        <v>17</v>
      </c>
      <c r="N22" s="39" t="str">
        <f>Lists!D22</f>
        <v>Northern Ireland</v>
      </c>
      <c r="O22" s="39">
        <v>7</v>
      </c>
    </row>
    <row r="23" spans="2:16" ht="12.75">
      <c r="B23" s="39">
        <v>18</v>
      </c>
      <c r="C23" s="39" t="str">
        <f>Controller!C58</f>
        <v>University campus</v>
      </c>
      <c r="D23" s="39">
        <v>240</v>
      </c>
      <c r="E23" s="39">
        <v>55</v>
      </c>
      <c r="F23" s="39" t="e">
        <f t="shared" si="0"/>
        <v>#N/A</v>
      </c>
      <c r="G23" s="39">
        <v>80</v>
      </c>
      <c r="H23" s="39">
        <v>0</v>
      </c>
      <c r="I23" s="39" t="e">
        <f t="shared" si="1"/>
        <v>#N/A</v>
      </c>
      <c r="J23" s="39" t="e">
        <f>IF('User Interface'!$C$99="Landlord's space",(0.01*E23*D23*(1+0.01*VLOOKUP($F$2,$N$6:$O$23,2,0))),IF('User Interface'!$C$100=Lists!$AA$37,(0.01*E23*D23*(1+0.01*VLOOKUP($F$2,$N$6:$O$23,2,0))),F23))</f>
        <v>#N/A</v>
      </c>
      <c r="M23" s="39">
        <v>18</v>
      </c>
      <c r="N23" s="39" t="str">
        <f>Lists!D23</f>
        <v>North West Scotland</v>
      </c>
      <c r="O23" s="154">
        <f>O20</f>
        <v>12</v>
      </c>
      <c r="P23" s="39" t="s">
        <v>468</v>
      </c>
    </row>
    <row r="24" spans="2:10" ht="12.75">
      <c r="B24" s="39">
        <v>19</v>
      </c>
      <c r="C24" s="118" t="s">
        <v>23</v>
      </c>
      <c r="D24" s="118">
        <v>200</v>
      </c>
      <c r="E24" s="118">
        <v>55</v>
      </c>
      <c r="F24" s="118" t="e">
        <f t="shared" si="0"/>
        <v>#N/A</v>
      </c>
      <c r="G24" s="118">
        <v>70</v>
      </c>
      <c r="H24" s="118">
        <v>0</v>
      </c>
      <c r="I24" s="118" t="e">
        <f t="shared" si="1"/>
        <v>#N/A</v>
      </c>
      <c r="J24" s="118" t="e">
        <f>IF('User Interface'!$C$99="Landlord's space",(0.01*E24*D24*(1+0.01*VLOOKUP($F$2,$N$6:$O$23,2,0))),IF('User Interface'!$C$100=Lists!$AA$37,(0.01*E24*D24*(1+0.01*VLOOKUP($F$2,$N$6:$O$23,2,0))),F24))</f>
        <v>#N/A</v>
      </c>
    </row>
    <row r="25" spans="2:10" ht="12.75">
      <c r="B25" s="39">
        <v>20</v>
      </c>
      <c r="C25" s="118" t="s">
        <v>24</v>
      </c>
      <c r="D25" s="118">
        <v>420</v>
      </c>
      <c r="E25" s="118">
        <v>55</v>
      </c>
      <c r="F25" s="118" t="e">
        <f t="shared" si="0"/>
        <v>#N/A</v>
      </c>
      <c r="G25" s="118">
        <v>90</v>
      </c>
      <c r="H25" s="118">
        <v>0</v>
      </c>
      <c r="I25" s="118" t="e">
        <f t="shared" si="1"/>
        <v>#N/A</v>
      </c>
      <c r="J25" s="118" t="e">
        <f>IF('User Interface'!$C$99="Landlord's space",(0.01*E25*D25*(1+0.01*VLOOKUP($F$2,$N$6:$O$23,2,0))),IF('User Interface'!$C$100=Lists!$AA$37,(0.01*E25*D25*(1+0.01*VLOOKUP($F$2,$N$6:$O$23,2,0))),F25))</f>
        <v>#N/A</v>
      </c>
    </row>
    <row r="26" spans="2:10" ht="12.75">
      <c r="B26" s="39">
        <v>21</v>
      </c>
      <c r="C26" s="118" t="s">
        <v>25</v>
      </c>
      <c r="D26" s="118">
        <v>420</v>
      </c>
      <c r="E26" s="118">
        <v>55</v>
      </c>
      <c r="F26" s="118" t="e">
        <f t="shared" si="0"/>
        <v>#N/A</v>
      </c>
      <c r="G26" s="118">
        <v>65</v>
      </c>
      <c r="H26" s="118">
        <v>0</v>
      </c>
      <c r="I26" s="118" t="e">
        <f t="shared" si="1"/>
        <v>#N/A</v>
      </c>
      <c r="J26" s="118" t="e">
        <f>IF('User Interface'!$C$99="Landlord's space",(0.01*E26*D26*(1+0.01*VLOOKUP($F$2,$N$6:$O$23,2,0))),IF('User Interface'!$C$100=Lists!$AA$37,(0.01*E26*D26*(1+0.01*VLOOKUP($F$2,$N$6:$O$23,2,0))),F26))</f>
        <v>#N/A</v>
      </c>
    </row>
    <row r="27" spans="2:10" ht="12.75">
      <c r="B27" s="39">
        <v>22</v>
      </c>
      <c r="C27" s="39" t="str">
        <f>Controller!C59</f>
        <v>General accommodation</v>
      </c>
      <c r="D27" s="39">
        <v>300</v>
      </c>
      <c r="E27" s="39">
        <v>55</v>
      </c>
      <c r="F27" s="39" t="e">
        <f t="shared" si="0"/>
        <v>#N/A</v>
      </c>
      <c r="G27" s="39">
        <v>60</v>
      </c>
      <c r="H27" s="39">
        <v>0</v>
      </c>
      <c r="I27" s="39" t="e">
        <f t="shared" si="1"/>
        <v>#N/A</v>
      </c>
      <c r="J27" s="39" t="e">
        <f>IF('User Interface'!$C$99="Landlord's space",(0.01*E27*D27*(1+0.01*VLOOKUP($F$2,$N$6:$O$23,2,0))),IF('User Interface'!$C$100=Lists!$AA$37,(0.01*E27*D27*(1+0.01*VLOOKUP($F$2,$N$6:$O$23,2,0))),F27))</f>
        <v>#N/A</v>
      </c>
    </row>
    <row r="28" spans="2:10" ht="12.75">
      <c r="B28" s="39">
        <v>23</v>
      </c>
      <c r="C28" s="39" t="str">
        <f>Controller!C60</f>
        <v>Emergency services</v>
      </c>
      <c r="D28" s="39">
        <v>390</v>
      </c>
      <c r="E28" s="39">
        <v>55</v>
      </c>
      <c r="F28" s="39" t="e">
        <f t="shared" si="0"/>
        <v>#N/A</v>
      </c>
      <c r="G28" s="39">
        <v>70</v>
      </c>
      <c r="H28" s="39">
        <v>0</v>
      </c>
      <c r="I28" s="39" t="e">
        <f t="shared" si="1"/>
        <v>#N/A</v>
      </c>
      <c r="J28" s="39" t="e">
        <f>IF('User Interface'!$C$99="Landlord's space",(0.01*E28*D28*(1+0.01*VLOOKUP($F$2,$N$6:$O$23,2,0))),IF('User Interface'!$C$100=Lists!$AA$37,(0.01*E28*D28*(1+0.01*VLOOKUP($F$2,$N$6:$O$23,2,0))),F28))</f>
        <v>#N/A</v>
      </c>
    </row>
    <row r="29" spans="2:15" ht="12.75">
      <c r="B29" s="39">
        <v>24</v>
      </c>
      <c r="C29" s="39" t="str">
        <f>Controller!C61</f>
        <v>Laboratory or operating theatre</v>
      </c>
      <c r="D29" s="39">
        <v>160</v>
      </c>
      <c r="E29" s="39">
        <v>55</v>
      </c>
      <c r="F29" s="39" t="e">
        <f t="shared" si="0"/>
        <v>#N/A</v>
      </c>
      <c r="G29" s="39">
        <v>160</v>
      </c>
      <c r="H29" s="39">
        <v>0</v>
      </c>
      <c r="I29" s="39" t="e">
        <f t="shared" si="1"/>
        <v>#N/A</v>
      </c>
      <c r="J29" s="39" t="e">
        <f>IF('User Interface'!$C$99="Landlord's space",(0.01*E29*D29*(1+0.01*VLOOKUP($F$2,$N$6:$O$23,2,0))),IF('User Interface'!$C$100=Lists!$AA$37,(0.01*E29*D29*(1+0.01*VLOOKUP($F$2,$N$6:$O$23,2,0))),F29))</f>
        <v>#N/A</v>
      </c>
      <c r="O29" s="39">
        <f>(1709-2021)/2021</f>
        <v>-0.15437902028698663</v>
      </c>
    </row>
    <row r="30" spans="2:10" ht="12.75">
      <c r="B30" s="39">
        <v>25</v>
      </c>
      <c r="C30" s="118" t="s">
        <v>29</v>
      </c>
      <c r="D30" s="118">
        <v>120</v>
      </c>
      <c r="E30" s="118">
        <v>55</v>
      </c>
      <c r="F30" s="118" t="e">
        <f t="shared" si="0"/>
        <v>#N/A</v>
      </c>
      <c r="G30" s="118">
        <v>30</v>
      </c>
      <c r="H30" s="118">
        <v>0</v>
      </c>
      <c r="I30" s="118" t="e">
        <f t="shared" si="1"/>
        <v>#N/A</v>
      </c>
      <c r="J30" s="118" t="e">
        <f>IF('User Interface'!$C$99="Landlord's space",(0.01*E30*D30*(1+0.01*VLOOKUP($F$2,$N$6:$O$23,2,0))),IF('User Interface'!$C$100=Lists!$AA$37,(0.01*E30*D30*(1+0.01*VLOOKUP($F$2,$N$6:$O$23,2,0))),F30))</f>
        <v>#N/A</v>
      </c>
    </row>
    <row r="31" spans="2:10" ht="12.75">
      <c r="B31" s="39">
        <v>26</v>
      </c>
      <c r="C31" s="118" t="s">
        <v>30</v>
      </c>
      <c r="D31" s="118">
        <v>200</v>
      </c>
      <c r="E31" s="118">
        <v>55</v>
      </c>
      <c r="F31" s="118" t="e">
        <f t="shared" si="0"/>
        <v>#N/A</v>
      </c>
      <c r="G31" s="118">
        <v>75</v>
      </c>
      <c r="H31" s="118">
        <v>0</v>
      </c>
      <c r="I31" s="118" t="e">
        <f t="shared" si="1"/>
        <v>#N/A</v>
      </c>
      <c r="J31" s="118" t="e">
        <f>IF('User Interface'!$C$99="Landlord's space",(0.01*E31*D31*(1+0.01*VLOOKUP($F$2,$N$6:$O$23,2,0))),IF('User Interface'!$C$100=Lists!$AA$37,(0.01*E31*D31*(1+0.01*VLOOKUP($F$2,$N$6:$O$23,2,0))),F31))</f>
        <v>#N/A</v>
      </c>
    </row>
    <row r="32" spans="2:21" ht="12.75">
      <c r="B32" s="39">
        <v>27</v>
      </c>
      <c r="C32" s="39" t="str">
        <f>Controller!C62</f>
        <v>Workshop</v>
      </c>
      <c r="D32" s="39">
        <v>180</v>
      </c>
      <c r="E32" s="39">
        <v>55</v>
      </c>
      <c r="F32" s="39" t="e">
        <f t="shared" si="0"/>
        <v>#N/A</v>
      </c>
      <c r="G32" s="39">
        <v>35</v>
      </c>
      <c r="H32" s="39">
        <v>0</v>
      </c>
      <c r="I32" s="39" t="e">
        <f t="shared" si="1"/>
        <v>#N/A</v>
      </c>
      <c r="J32" s="39" t="e">
        <f>IF('User Interface'!$C$99="Landlord's space",(0.01*E32*D32*(1+0.01*VLOOKUP($F$2,$N$6:$O$23,2,0))),IF('User Interface'!$C$100=Lists!$AA$37,(0.01*E32*D32*(1+0.01*VLOOKUP($F$2,$N$6:$O$23,2,0))),F32))</f>
        <v>#N/A</v>
      </c>
      <c r="T32" s="55">
        <v>2</v>
      </c>
      <c r="U32" s="39" t="s">
        <v>319</v>
      </c>
    </row>
    <row r="33" spans="2:21" ht="12.75">
      <c r="B33" s="39">
        <v>28</v>
      </c>
      <c r="C33" s="39" t="str">
        <f>Controller!C63</f>
        <v>Storage facility</v>
      </c>
      <c r="D33" s="39">
        <v>160</v>
      </c>
      <c r="E33" s="39">
        <v>70</v>
      </c>
      <c r="F33" s="39" t="e">
        <f t="shared" si="0"/>
        <v>#N/A</v>
      </c>
      <c r="G33" s="39">
        <v>35</v>
      </c>
      <c r="H33" s="39">
        <v>0</v>
      </c>
      <c r="I33" s="39" t="e">
        <f t="shared" si="1"/>
        <v>#N/A</v>
      </c>
      <c r="J33" s="39" t="e">
        <f>IF('User Interface'!$C$99="Landlord's space",(0.01*E33*D33*(1+0.01*VLOOKUP($F$2,$N$6:$O$23,2,0))),IF('User Interface'!$C$100=Lists!$AA$37,(0.01*E33*D33*(1+0.01*VLOOKUP($F$2,$N$6:$O$23,2,0))),F33))</f>
        <v>#N/A</v>
      </c>
      <c r="T33" s="55">
        <v>1</v>
      </c>
      <c r="U33" s="39" t="s">
        <v>319</v>
      </c>
    </row>
    <row r="34" spans="2:10" ht="12.75">
      <c r="B34" s="39">
        <v>29</v>
      </c>
      <c r="C34" s="39" t="str">
        <f>Controller!C64</f>
        <v>Cold storage</v>
      </c>
      <c r="D34" s="39">
        <v>80</v>
      </c>
      <c r="E34" s="39">
        <v>55</v>
      </c>
      <c r="F34" s="39" t="e">
        <f t="shared" si="0"/>
        <v>#N/A</v>
      </c>
      <c r="G34" s="39">
        <v>145</v>
      </c>
      <c r="H34" s="39">
        <v>0</v>
      </c>
      <c r="I34" s="39" t="e">
        <f t="shared" si="1"/>
        <v>#N/A</v>
      </c>
      <c r="J34" s="39" t="e">
        <f>IF('User Interface'!$C$99="Landlord's space",(0.01*E34*D34*(1+0.01*VLOOKUP($F$2,$N$6:$O$23,2,0))),IF('User Interface'!$C$100=Lists!$AA$37,(0.01*E34*D34*(1+0.01*VLOOKUP($F$2,$N$6:$O$23,2,0))),F34))</f>
        <v>#N/A</v>
      </c>
    </row>
    <row r="36" ht="12.75">
      <c r="D36" s="39" t="s">
        <v>628</v>
      </c>
    </row>
    <row r="37" spans="4:5" ht="12.75">
      <c r="D37" s="327"/>
      <c r="E37" s="39" t="s">
        <v>626</v>
      </c>
    </row>
    <row r="38" spans="4:5" ht="12.75">
      <c r="D38" s="330"/>
      <c r="E38" s="39" t="s">
        <v>627</v>
      </c>
    </row>
    <row r="39" spans="4:5" ht="12.75">
      <c r="D39" s="329"/>
      <c r="E39" s="39" t="s">
        <v>627</v>
      </c>
    </row>
    <row r="40" spans="2:9" ht="37.5" customHeight="1">
      <c r="B40" s="39" t="s">
        <v>245</v>
      </c>
      <c r="F40" s="40"/>
      <c r="G40" s="40"/>
      <c r="H40" s="40"/>
      <c r="I40" s="40"/>
    </row>
    <row r="41" ht="12.75">
      <c r="B41" s="39" t="s">
        <v>250</v>
      </c>
    </row>
    <row r="42" ht="12.75">
      <c r="B42" s="39" t="s">
        <v>251</v>
      </c>
    </row>
    <row r="43" ht="12.75">
      <c r="B43" s="39" t="s">
        <v>252</v>
      </c>
    </row>
    <row r="44" ht="12.75">
      <c r="B44" s="39" t="s">
        <v>253</v>
      </c>
    </row>
    <row r="45" ht="12.75">
      <c r="B45" s="39" t="s">
        <v>254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Faber Maunsell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Smalley;Elena Olloqui;Alex Duckworth</dc:creator>
  <cp:keywords/>
  <dc:description/>
  <cp:lastModifiedBy>Duckworth, Alex</cp:lastModifiedBy>
  <cp:lastPrinted>2014-06-02T08:44:30Z</cp:lastPrinted>
  <dcterms:created xsi:type="dcterms:W3CDTF">2005-02-09T11:00:07Z</dcterms:created>
  <dcterms:modified xsi:type="dcterms:W3CDTF">2014-10-24T15:46:27Z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