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justiceuk-my.sharepoint.com/personal/james_dryden_justice_gov_uk/Documents/Documents/HCF/HCF Updated links and docs project 2022-09-12/HCF King's Counsel/Converted Docs/"/>
    </mc:Choice>
  </mc:AlternateContent>
  <xr:revisionPtr revIDLastSave="0" documentId="8_{65D76C29-C9C1-4C25-A20C-218AF9AA9149}" xr6:coauthVersionLast="46" xr6:coauthVersionMax="46" xr10:uidLastSave="{00000000-0000-0000-0000-000000000000}"/>
  <bookViews>
    <workbookView xWindow="1260" yWindow="0" windowWidth="22740" windowHeight="13050" xr2:uid="{00000000-000D-0000-FFFF-FFFF00000000}"/>
  </bookViews>
  <sheets>
    <sheet name="Standard Model" sheetId="5" r:id="rId1"/>
    <sheet name="Advocacy Model" sheetId="7" r:id="rId2"/>
    <sheet name="VHCC Rates" sheetId="3" state="hidden" r:id="rId3"/>
  </sheets>
  <definedNames>
    <definedName name="_xlnm.Print_Area" localSheetId="1">'Advocacy Model'!$C$2:$M$32</definedName>
    <definedName name="_xlnm.Print_Area" localSheetId="0">'Standard Model'!$C$2:$N$15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7" l="1"/>
  <c r="A6" i="7"/>
  <c r="A3" i="5"/>
  <c r="A4" i="5" s="1"/>
  <c r="A20" i="3"/>
  <c r="A19" i="3"/>
  <c r="A18" i="3"/>
  <c r="A17" i="3"/>
  <c r="A10" i="7"/>
  <c r="A11" i="7"/>
  <c r="A7" i="5"/>
  <c r="L15" i="5"/>
  <c r="J15" i="5"/>
  <c r="A14" i="5"/>
  <c r="A11" i="5"/>
  <c r="A10" i="5"/>
  <c r="A5" i="3"/>
  <c r="A6" i="3"/>
  <c r="A7" i="3"/>
  <c r="A8" i="3"/>
  <c r="A9" i="3"/>
  <c r="A10" i="3"/>
  <c r="A11" i="3"/>
  <c r="A4" i="3"/>
  <c r="A15" i="5" s="1"/>
  <c r="C9" i="7" l="1"/>
  <c r="A8" i="5"/>
  <c r="A7" i="7"/>
  <c r="A5" i="7" s="1"/>
  <c r="I16" i="7" s="1"/>
  <c r="I25" i="7" s="1"/>
  <c r="A5" i="5"/>
  <c r="I4" i="5"/>
  <c r="J14" i="7" l="1"/>
  <c r="F13" i="7"/>
  <c r="F22" i="7" s="1"/>
  <c r="J12" i="7"/>
  <c r="F14" i="7"/>
  <c r="F23" i="7" s="1"/>
  <c r="H12" i="7"/>
  <c r="I21" i="7" s="1"/>
  <c r="H13" i="7"/>
  <c r="I22" i="7" s="1"/>
  <c r="J16" i="7"/>
  <c r="J25" i="7" s="1"/>
  <c r="F17" i="7"/>
  <c r="G26" i="7" s="1"/>
  <c r="J13" i="7"/>
  <c r="J18" i="7"/>
  <c r="J27" i="7" s="1"/>
  <c r="J17" i="7"/>
  <c r="J26" i="7" s="1"/>
  <c r="I18" i="7"/>
  <c r="I27" i="7" s="1"/>
  <c r="I17" i="7"/>
  <c r="I26" i="7" s="1"/>
  <c r="F12" i="7"/>
  <c r="F21" i="7" s="1"/>
  <c r="F18" i="7"/>
  <c r="G27" i="7" s="1"/>
  <c r="H14" i="7"/>
  <c r="I23" i="7" s="1"/>
  <c r="F16" i="7"/>
  <c r="G25" i="7" s="1"/>
  <c r="K9" i="5"/>
  <c r="M14" i="5" s="1"/>
  <c r="J9" i="5"/>
  <c r="K14" i="5" s="1"/>
  <c r="N14" i="5" s="1"/>
  <c r="J8" i="5"/>
  <c r="K13" i="5" s="1"/>
  <c r="K8" i="5"/>
  <c r="M13" i="5" s="1"/>
  <c r="K7" i="5"/>
  <c r="M12" i="5" s="1"/>
  <c r="M15" i="5" s="1"/>
  <c r="L7" i="5"/>
  <c r="L9" i="5"/>
  <c r="J7" i="5"/>
  <c r="K12" i="5" s="1"/>
  <c r="L8" i="5"/>
  <c r="F31" i="7" l="1"/>
  <c r="J22" i="7"/>
  <c r="J31" i="7"/>
  <c r="F30" i="7"/>
  <c r="J23" i="7"/>
  <c r="J30" i="7"/>
  <c r="J21" i="7"/>
  <c r="N12" i="5"/>
  <c r="K15" i="5"/>
  <c r="N15" i="5" s="1"/>
  <c r="N13" i="5"/>
  <c r="F32" i="7" l="1"/>
  <c r="J32" i="7"/>
</calcChain>
</file>

<file path=xl/sharedStrings.xml><?xml version="1.0" encoding="utf-8"?>
<sst xmlns="http://schemas.openxmlformats.org/spreadsheetml/2006/main" count="191" uniqueCount="65">
  <si>
    <t>Date Certificate Registered</t>
  </si>
  <si>
    <t>Date Registered As VHCC</t>
  </si>
  <si>
    <t>Scheme that apples</t>
  </si>
  <si>
    <t>Pre 01/02/12</t>
  </si>
  <si>
    <t>Original</t>
  </si>
  <si>
    <t>01/02/12 - 30/04/13</t>
  </si>
  <si>
    <t>01/05/13 or later</t>
  </si>
  <si>
    <t>01/02/12 or Later</t>
  </si>
  <si>
    <t>N/A</t>
  </si>
  <si>
    <t>10% reduction</t>
  </si>
  <si>
    <t>Court</t>
  </si>
  <si>
    <t>High</t>
  </si>
  <si>
    <t>Concat</t>
  </si>
  <si>
    <t>Main Hear</t>
  </si>
  <si>
    <t>YesYes</t>
  </si>
  <si>
    <t>YesNo</t>
  </si>
  <si>
    <t>NoYes</t>
  </si>
  <si>
    <t>NoNo</t>
  </si>
  <si>
    <t>Rate</t>
  </si>
  <si>
    <t>Stand</t>
  </si>
  <si>
    <t>Over</t>
  </si>
  <si>
    <t>Under</t>
  </si>
  <si>
    <t>Other</t>
  </si>
  <si>
    <t>Sols</t>
  </si>
  <si>
    <t>Barrister</t>
  </si>
  <si>
    <t>Comments</t>
  </si>
  <si>
    <t>or FGF/FAS</t>
  </si>
  <si>
    <t>Solicitor</t>
  </si>
  <si>
    <t>Standard</t>
  </si>
  <si>
    <t>Overrun</t>
  </si>
  <si>
    <t>Under-run</t>
  </si>
  <si>
    <t>FAS Rates Apply to Barrister Fees</t>
  </si>
  <si>
    <t>Total</t>
  </si>
  <si>
    <t>Scope</t>
  </si>
  <si>
    <t>Case Conclusion</t>
  </si>
  <si>
    <t>Certificate</t>
  </si>
  <si>
    <t>Event Rates</t>
  </si>
  <si>
    <t>Was this certificate issued prior to 01/02/12?</t>
  </si>
  <si>
    <t>Was this case registered as a VHCC prior to 01/05/13?</t>
  </si>
  <si>
    <t>Did this case conclude in the High Court?</t>
  </si>
  <si>
    <t>Was the main hearing listed to last more than 10 days?</t>
  </si>
  <si>
    <t>Number of Events</t>
  </si>
  <si>
    <t>Has this case been registered or is it likely to go high cost?</t>
  </si>
  <si>
    <t>Event With Barrister as advocate</t>
  </si>
  <si>
    <t>Event With Solicitor as advocate</t>
  </si>
  <si>
    <t>Standard Event</t>
  </si>
  <si>
    <t>Alternative Model</t>
  </si>
  <si>
    <t>Standard Event Total</t>
  </si>
  <si>
    <t>Click Here</t>
  </si>
  <si>
    <t>Scheme</t>
  </si>
  <si>
    <t>With Barrister</t>
  </si>
  <si>
    <t>Adv Standard</t>
  </si>
  <si>
    <t>Adv Alternative</t>
  </si>
  <si>
    <t>+ FAS</t>
  </si>
  <si>
    <t>+ FAS no hearing payment</t>
  </si>
  <si>
    <t>You may choose to apply the Standard Event or Alternative model to all events with Solicitor as advocate</t>
  </si>
  <si>
    <t>Event with solicitor as advocate cannot be claimed for an event attended by a Barrister however it may be claimed in a case where a Barrister was instructed previously but is not attending a specific event</t>
  </si>
  <si>
    <t>Barrister Fees</t>
  </si>
  <si>
    <t>Solicitors Fees</t>
  </si>
  <si>
    <t>Alternative Model Totals (Excluding FAS Fees)</t>
  </si>
  <si>
    <t>Solicitor (including Events attended by a Barrister)</t>
  </si>
  <si>
    <t>If you have instructed counsel in this case have Junior Counsel only been instructed? (If counsel were not instructed on this case please select Yes)</t>
  </si>
  <si>
    <t>Does this case fall under Care proceedings/Have you had authority to use this Scheme on a non-care case?</t>
  </si>
  <si>
    <t>HCF Care Case Fee Scheme - Advocacy Model</t>
  </si>
  <si>
    <t>HCF Care Case Fee Scheme - Standard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</si>
</sst>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Fill="1"/>
    <xf numFmtId="164" fontId="0" fillId="0" borderId="0" xfId="0" quotePrefix="1" applyNumberFormat="1"/>
    <xf numFmtId="164" fontId="0" fillId="3" borderId="3" xfId="0" applyNumberFormat="1" applyFill="1" applyBorder="1" applyAlignment="1">
      <alignment horizontal="right" vertical="center"/>
    </xf>
    <xf numFmtId="164" fontId="0" fillId="3" borderId="4" xfId="0" applyNumberFormat="1" applyFill="1" applyBorder="1" applyAlignment="1">
      <alignment horizontal="righ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0" fillId="5" borderId="9" xfId="0" applyFill="1" applyBorder="1" applyAlignment="1" applyProtection="1">
      <alignment horizontal="center" vertical="center"/>
      <protection hidden="1"/>
    </xf>
    <xf numFmtId="164" fontId="0" fillId="3" borderId="1" xfId="0" applyNumberForma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5" borderId="10" xfId="0" applyFill="1" applyBorder="1" applyAlignment="1" applyProtection="1">
      <alignment horizontal="center" vertical="center"/>
      <protection hidden="1"/>
    </xf>
    <xf numFmtId="164" fontId="0" fillId="3" borderId="5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0" fillId="5" borderId="13" xfId="0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 hidden="1"/>
    </xf>
    <xf numFmtId="164" fontId="0" fillId="3" borderId="14" xfId="0" applyNumberFormat="1" applyFill="1" applyBorder="1" applyAlignment="1" applyProtection="1">
      <alignment horizontal="center" vertical="center"/>
      <protection hidden="1"/>
    </xf>
    <xf numFmtId="164" fontId="0" fillId="3" borderId="15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164" fontId="0" fillId="3" borderId="2" xfId="0" applyNumberFormat="1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164" fontId="0" fillId="3" borderId="16" xfId="0" applyNumberFormat="1" applyFill="1" applyBorder="1" applyAlignment="1" applyProtection="1">
      <alignment horizontal="center" vertical="center"/>
      <protection hidden="1"/>
    </xf>
    <xf numFmtId="164" fontId="0" fillId="3" borderId="7" xfId="0" applyNumberFormat="1" applyFill="1" applyBorder="1" applyAlignment="1">
      <alignment horizontal="right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hidden="1"/>
    </xf>
    <xf numFmtId="164" fontId="0" fillId="3" borderId="4" xfId="0" applyNumberFormat="1" applyFill="1" applyBorder="1" applyAlignment="1" applyProtection="1">
      <alignment horizontal="center" vertical="center"/>
      <protection hidden="1"/>
    </xf>
    <xf numFmtId="164" fontId="0" fillId="3" borderId="18" xfId="0" applyNumberFormat="1" applyFill="1" applyBorder="1" applyAlignment="1" applyProtection="1">
      <alignment horizontal="center" vertical="center"/>
      <protection hidden="1"/>
    </xf>
    <xf numFmtId="164" fontId="0" fillId="3" borderId="19" xfId="0" applyNumberFormat="1" applyFill="1" applyBorder="1" applyAlignment="1" applyProtection="1">
      <alignment horizontal="center" vertical="center"/>
      <protection hidden="1"/>
    </xf>
    <xf numFmtId="164" fontId="0" fillId="3" borderId="3" xfId="0" applyNumberFormat="1" applyFill="1" applyBorder="1" applyAlignment="1" applyProtection="1">
      <alignment horizontal="center" vertical="center"/>
      <protection hidden="1"/>
    </xf>
    <xf numFmtId="164" fontId="0" fillId="3" borderId="20" xfId="0" applyNumberFormat="1" applyFill="1" applyBorder="1" applyAlignment="1" applyProtection="1">
      <alignment horizontal="center" vertical="center"/>
      <protection hidden="1"/>
    </xf>
    <xf numFmtId="164" fontId="0" fillId="3" borderId="21" xfId="0" applyNumberForma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3" fillId="4" borderId="17" xfId="0" applyFont="1" applyFill="1" applyBorder="1" applyAlignment="1" applyProtection="1">
      <alignment horizontal="center" vertical="center"/>
      <protection hidden="1"/>
    </xf>
    <xf numFmtId="0" fontId="0" fillId="5" borderId="9" xfId="0" applyFill="1" applyBorder="1" applyAlignment="1" applyProtection="1">
      <alignment horizontal="left" vertical="center" wrapText="1"/>
      <protection hidden="1"/>
    </xf>
    <xf numFmtId="0" fontId="0" fillId="5" borderId="1" xfId="0" applyFill="1" applyBorder="1" applyAlignment="1" applyProtection="1">
      <alignment horizontal="left" vertical="center" wrapText="1"/>
      <protection hidden="1"/>
    </xf>
    <xf numFmtId="0" fontId="0" fillId="5" borderId="10" xfId="0" applyFill="1" applyBorder="1" applyAlignment="1" applyProtection="1">
      <alignment horizontal="left" vertical="center" wrapText="1"/>
      <protection hidden="1"/>
    </xf>
    <xf numFmtId="0" fontId="0" fillId="5" borderId="5" xfId="0" applyFill="1" applyBorder="1" applyAlignment="1" applyProtection="1">
      <alignment horizontal="left" vertical="center" wrapText="1"/>
      <protection hidden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0" fontId="2" fillId="4" borderId="24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2" fillId="4" borderId="24" xfId="0" applyFont="1" applyFill="1" applyBorder="1" applyAlignment="1" applyProtection="1">
      <alignment horizontal="center" vertical="center"/>
      <protection hidden="1"/>
    </xf>
    <xf numFmtId="0" fontId="2" fillId="4" borderId="25" xfId="0" applyFont="1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0" fillId="5" borderId="41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30" xfId="0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64" fontId="0" fillId="3" borderId="18" xfId="0" applyNumberFormat="1" applyFill="1" applyBorder="1" applyAlignment="1">
      <alignment horizontal="left" vertical="center"/>
    </xf>
    <xf numFmtId="164" fontId="0" fillId="3" borderId="30" xfId="0" applyNumberFormat="1" applyFill="1" applyBorder="1" applyAlignment="1">
      <alignment horizontal="left" vertical="center"/>
    </xf>
    <xf numFmtId="164" fontId="0" fillId="3" borderId="37" xfId="0" applyNumberFormat="1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/>
    </xf>
    <xf numFmtId="164" fontId="0" fillId="3" borderId="2" xfId="0" applyNumberForma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left" vertical="center"/>
    </xf>
    <xf numFmtId="0" fontId="2" fillId="4" borderId="39" xfId="0" applyFont="1" applyFill="1" applyBorder="1" applyAlignment="1">
      <alignment horizontal="center" vertical="center" wrapText="1"/>
    </xf>
    <xf numFmtId="164" fontId="0" fillId="3" borderId="43" xfId="0" applyNumberFormat="1" applyFill="1" applyBorder="1" applyAlignment="1">
      <alignment horizontal="left" vertical="center"/>
    </xf>
    <xf numFmtId="164" fontId="0" fillId="3" borderId="7" xfId="0" applyNumberForma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b val="0"/>
        <i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 tint="-0.14996795556505021"/>
        <name val="Cambria"/>
        <scheme val="none"/>
      </font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/>
        <color auto="1"/>
      </font>
      <fill>
        <patternFill>
          <bgColor rgb="FFFFFF00"/>
        </patternFill>
      </fill>
    </dxf>
    <dxf>
      <font>
        <color theme="0" tint="-0.14996795556505021"/>
        <name val="Cambria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0"/>
  <sheetViews>
    <sheetView showGridLines="0" showRowColHeaders="0" tabSelected="1" topLeftCell="B1" workbookViewId="0">
      <selection activeCell="G5" sqref="G5"/>
    </sheetView>
  </sheetViews>
  <sheetFormatPr defaultRowHeight="15" x14ac:dyDescent="0.25"/>
  <cols>
    <col min="1" max="1" width="21.42578125" style="19" hidden="1" customWidth="1"/>
    <col min="2" max="2" width="1.7109375" style="19" customWidth="1"/>
    <col min="3" max="3" width="10.5703125" style="19" customWidth="1"/>
    <col min="4" max="4" width="15.42578125" style="19" customWidth="1"/>
    <col min="5" max="6" width="11.140625" style="19" customWidth="1"/>
    <col min="7" max="7" width="11.140625" style="20" customWidth="1"/>
    <col min="8" max="8" width="4" style="20" customWidth="1"/>
    <col min="9" max="9" width="18.140625" style="20" customWidth="1"/>
    <col min="10" max="10" width="12.28515625" style="20" customWidth="1"/>
    <col min="11" max="11" width="12.28515625" style="19" customWidth="1"/>
    <col min="12" max="14" width="10.5703125" style="19" customWidth="1"/>
    <col min="15" max="17" width="9.140625" style="19"/>
    <col min="18" max="18" width="16.42578125" style="19" customWidth="1"/>
    <col min="19" max="16384" width="9.140625" style="19"/>
  </cols>
  <sheetData>
    <row r="1" spans="1:14" ht="9" customHeight="1" x14ac:dyDescent="0.25"/>
    <row r="2" spans="1:14" ht="30" customHeight="1" x14ac:dyDescent="0.25">
      <c r="C2" s="42" t="s">
        <v>64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9" customHeight="1" thickBot="1" x14ac:dyDescent="0.3">
      <c r="A3" s="19">
        <f>COUNTIF(G5:G15, "Click Here")</f>
        <v>7</v>
      </c>
    </row>
    <row r="4" spans="1:14" ht="30" customHeight="1" x14ac:dyDescent="0.25">
      <c r="A4" s="19" t="b">
        <f>OR(A3=7,A3=0)</f>
        <v>1</v>
      </c>
      <c r="C4" s="52" t="s">
        <v>33</v>
      </c>
      <c r="D4" s="53"/>
      <c r="E4" s="53"/>
      <c r="F4" s="53"/>
      <c r="G4" s="54"/>
      <c r="H4" s="19"/>
      <c r="I4" s="59" t="str">
        <f>IF(A7=TRUE,"Fee Scheme Does Not Apply To This Case", IF(A4=FALSE,"Please Answer All Questions Yes Or No",""))</f>
        <v/>
      </c>
      <c r="J4" s="59"/>
      <c r="K4" s="59"/>
      <c r="L4" s="59"/>
      <c r="M4" s="59"/>
      <c r="N4" s="59"/>
    </row>
    <row r="5" spans="1:14" ht="30" customHeight="1" thickBot="1" x14ac:dyDescent="0.3">
      <c r="A5" s="20" t="e">
        <f>CONCATENATE(A10, A11, A15)</f>
        <v>#N/A</v>
      </c>
      <c r="B5" s="20"/>
      <c r="C5" s="55" t="s">
        <v>62</v>
      </c>
      <c r="D5" s="56"/>
      <c r="E5" s="56"/>
      <c r="F5" s="56"/>
      <c r="G5" s="21" t="s">
        <v>48</v>
      </c>
      <c r="H5" s="19"/>
      <c r="I5" s="19"/>
      <c r="J5" s="19"/>
    </row>
    <row r="6" spans="1:14" ht="30" customHeight="1" x14ac:dyDescent="0.25">
      <c r="B6" s="20"/>
      <c r="C6" s="55" t="s">
        <v>42</v>
      </c>
      <c r="D6" s="56"/>
      <c r="E6" s="56"/>
      <c r="F6" s="56"/>
      <c r="G6" s="21" t="s">
        <v>48</v>
      </c>
      <c r="H6" s="19"/>
      <c r="I6" s="22" t="s">
        <v>36</v>
      </c>
      <c r="J6" s="23" t="s">
        <v>27</v>
      </c>
      <c r="K6" s="23" t="s">
        <v>24</v>
      </c>
      <c r="L6" s="49" t="s">
        <v>25</v>
      </c>
      <c r="M6" s="50"/>
      <c r="N6" s="51"/>
    </row>
    <row r="7" spans="1:14" ht="45" customHeight="1" thickBot="1" x14ac:dyDescent="0.3">
      <c r="A7" s="20" t="b">
        <f>OR(G5="No",G6="No",G7="No")</f>
        <v>0</v>
      </c>
      <c r="B7" s="20"/>
      <c r="C7" s="57" t="s">
        <v>61</v>
      </c>
      <c r="D7" s="58"/>
      <c r="E7" s="58"/>
      <c r="F7" s="58"/>
      <c r="G7" s="21" t="s">
        <v>48</v>
      </c>
      <c r="I7" s="24" t="s">
        <v>28</v>
      </c>
      <c r="J7" s="25" t="e">
        <f>VLOOKUP($A$5,'VHCC Rates'!$A:$K,5,0)</f>
        <v>#N/A</v>
      </c>
      <c r="K7" s="25" t="e">
        <f>VLOOKUP($A$5,'VHCC Rates'!$A:$K,8,0)</f>
        <v>#N/A</v>
      </c>
      <c r="L7" s="46" t="e">
        <f>VLOOKUP($A$5,'VHCC Rates'!$A:$K,11,0)</f>
        <v>#N/A</v>
      </c>
      <c r="M7" s="47"/>
      <c r="N7" s="48"/>
    </row>
    <row r="8" spans="1:14" ht="30" customHeight="1" thickBot="1" x14ac:dyDescent="0.3">
      <c r="A8" s="20" t="b">
        <f>IF(A7=TRUE,FALSE,IF(A4=FALSE,FALSE,TRUE))</f>
        <v>1</v>
      </c>
      <c r="I8" s="24" t="s">
        <v>29</v>
      </c>
      <c r="J8" s="25" t="e">
        <f>VLOOKUP($A$5,'VHCC Rates'!$A:$K,6,0)</f>
        <v>#N/A</v>
      </c>
      <c r="K8" s="25" t="e">
        <f>VLOOKUP($A$5,'VHCC Rates'!$A:$K,9,0)</f>
        <v>#N/A</v>
      </c>
      <c r="L8" s="46" t="e">
        <f>VLOOKUP($A$5,'VHCC Rates'!$A:$K,11,0)</f>
        <v>#N/A</v>
      </c>
      <c r="M8" s="47"/>
      <c r="N8" s="48"/>
    </row>
    <row r="9" spans="1:14" ht="30" customHeight="1" thickBot="1" x14ac:dyDescent="0.3">
      <c r="A9" s="20"/>
      <c r="C9" s="52" t="s">
        <v>35</v>
      </c>
      <c r="D9" s="53"/>
      <c r="E9" s="53"/>
      <c r="F9" s="53"/>
      <c r="G9" s="54"/>
      <c r="H9" s="26"/>
      <c r="I9" s="27" t="s">
        <v>30</v>
      </c>
      <c r="J9" s="28" t="e">
        <f>VLOOKUP($A$5,'VHCC Rates'!$A:$K,7,0)</f>
        <v>#N/A</v>
      </c>
      <c r="K9" s="28" t="e">
        <f>VLOOKUP($A$5,'VHCC Rates'!$A:$K,10,0)</f>
        <v>#N/A</v>
      </c>
      <c r="L9" s="43" t="e">
        <f>VLOOKUP($A$5,'VHCC Rates'!$A:$K,11,0)</f>
        <v>#N/A</v>
      </c>
      <c r="M9" s="44"/>
      <c r="N9" s="45"/>
    </row>
    <row r="10" spans="1:14" ht="30" customHeight="1" thickBot="1" x14ac:dyDescent="0.3">
      <c r="A10" s="20" t="str">
        <f>IF(G14="Yes", "High", "Other")</f>
        <v>Other</v>
      </c>
      <c r="B10" s="20"/>
      <c r="C10" s="55" t="s">
        <v>37</v>
      </c>
      <c r="D10" s="56"/>
      <c r="E10" s="56"/>
      <c r="F10" s="56"/>
      <c r="G10" s="21" t="s">
        <v>48</v>
      </c>
      <c r="H10" s="29"/>
    </row>
    <row r="11" spans="1:14" ht="30" customHeight="1" thickBot="1" x14ac:dyDescent="0.3">
      <c r="A11" s="20" t="str">
        <f>IF(G15="Yes", "Over", "Under")</f>
        <v>Under</v>
      </c>
      <c r="B11" s="20"/>
      <c r="C11" s="57" t="s">
        <v>38</v>
      </c>
      <c r="D11" s="58"/>
      <c r="E11" s="58"/>
      <c r="F11" s="58"/>
      <c r="G11" s="21" t="s">
        <v>48</v>
      </c>
      <c r="H11" s="29"/>
      <c r="I11" s="30" t="s">
        <v>41</v>
      </c>
      <c r="J11" s="60" t="s">
        <v>60</v>
      </c>
      <c r="K11" s="61"/>
      <c r="L11" s="62" t="s">
        <v>24</v>
      </c>
      <c r="M11" s="63"/>
      <c r="N11" s="31" t="s">
        <v>32</v>
      </c>
    </row>
    <row r="12" spans="1:14" ht="30" customHeight="1" thickBot="1" x14ac:dyDescent="0.3">
      <c r="A12" s="20"/>
      <c r="H12" s="29"/>
      <c r="I12" s="32" t="s">
        <v>28</v>
      </c>
      <c r="J12" s="33"/>
      <c r="K12" s="34" t="e">
        <f>J7*J12</f>
        <v>#N/A</v>
      </c>
      <c r="L12" s="33"/>
      <c r="M12" s="34" t="e">
        <f>K7*L12</f>
        <v>#N/A</v>
      </c>
      <c r="N12" s="35" t="e">
        <f>K12+M12</f>
        <v>#N/A</v>
      </c>
    </row>
    <row r="13" spans="1:14" ht="30" customHeight="1" x14ac:dyDescent="0.25">
      <c r="A13" s="20"/>
      <c r="C13" s="52" t="s">
        <v>34</v>
      </c>
      <c r="D13" s="53"/>
      <c r="E13" s="53"/>
      <c r="F13" s="53"/>
      <c r="G13" s="54"/>
      <c r="I13" s="24" t="s">
        <v>29</v>
      </c>
      <c r="J13" s="36"/>
      <c r="K13" s="25" t="e">
        <f>J8*J13</f>
        <v>#N/A</v>
      </c>
      <c r="L13" s="36"/>
      <c r="M13" s="25" t="e">
        <f>K8*L13</f>
        <v>#N/A</v>
      </c>
      <c r="N13" s="37" t="e">
        <f>K13+M13</f>
        <v>#N/A</v>
      </c>
    </row>
    <row r="14" spans="1:14" ht="30" customHeight="1" x14ac:dyDescent="0.25">
      <c r="A14" s="20" t="str">
        <f>CONCATENATE(G10, G11)</f>
        <v>Click HereClick Here</v>
      </c>
      <c r="B14" s="20"/>
      <c r="C14" s="55" t="s">
        <v>39</v>
      </c>
      <c r="D14" s="56"/>
      <c r="E14" s="56"/>
      <c r="F14" s="56"/>
      <c r="G14" s="21" t="s">
        <v>48</v>
      </c>
      <c r="I14" s="24" t="s">
        <v>30</v>
      </c>
      <c r="J14" s="36"/>
      <c r="K14" s="25" t="e">
        <f>J9*J14</f>
        <v>#N/A</v>
      </c>
      <c r="L14" s="36"/>
      <c r="M14" s="25" t="e">
        <f>K9*L14</f>
        <v>#N/A</v>
      </c>
      <c r="N14" s="37" t="e">
        <f>K14+M14</f>
        <v>#N/A</v>
      </c>
    </row>
    <row r="15" spans="1:14" ht="30" customHeight="1" thickBot="1" x14ac:dyDescent="0.3">
      <c r="A15" s="20" t="e">
        <f>VLOOKUP(A14,'VHCC Rates'!A:D,4,0)</f>
        <v>#N/A</v>
      </c>
      <c r="B15" s="20"/>
      <c r="C15" s="57" t="s">
        <v>40</v>
      </c>
      <c r="D15" s="58"/>
      <c r="E15" s="58"/>
      <c r="F15" s="58"/>
      <c r="G15" s="21" t="s">
        <v>48</v>
      </c>
      <c r="I15" s="27" t="s">
        <v>32</v>
      </c>
      <c r="J15" s="38">
        <f>SUM(J12:J14)</f>
        <v>0</v>
      </c>
      <c r="K15" s="28" t="e">
        <f>SUM(K12:K14)</f>
        <v>#N/A</v>
      </c>
      <c r="L15" s="38">
        <f>SUM(L12:L14)</f>
        <v>0</v>
      </c>
      <c r="M15" s="28" t="e">
        <f>SUM(M12:M14)</f>
        <v>#N/A</v>
      </c>
      <c r="N15" s="39" t="e">
        <f>K15+M15</f>
        <v>#N/A</v>
      </c>
    </row>
    <row r="16" spans="1:14" x14ac:dyDescent="0.25">
      <c r="B16" s="20"/>
    </row>
    <row r="17" spans="2:8" x14ac:dyDescent="0.25">
      <c r="B17" s="20"/>
    </row>
    <row r="19" spans="2:8" x14ac:dyDescent="0.25">
      <c r="G19" s="19"/>
      <c r="H19" s="19"/>
    </row>
    <row r="20" spans="2:8" x14ac:dyDescent="0.25">
      <c r="G20" s="19"/>
      <c r="H20" s="19"/>
    </row>
  </sheetData>
  <sheetProtection algorithmName="SHA-512" hashValue="KY5gbAEk4kMpXLMqOYftMWj2fOeHnvACRrLvPq7sQYo7WkbI8a3w6Ubh/YePX9YWIjPSVczX06EljuxI6jDtJg==" saltValue="CwB09Jfp5ylkkRJwHSAW8w==" spinCount="100000" sheet="1" objects="1" scenarios="1" selectLockedCells="1"/>
  <mergeCells count="18">
    <mergeCell ref="C15:F15"/>
    <mergeCell ref="I4:N4"/>
    <mergeCell ref="J11:K11"/>
    <mergeCell ref="L11:M11"/>
    <mergeCell ref="C10:F10"/>
    <mergeCell ref="C11:F11"/>
    <mergeCell ref="C9:G9"/>
    <mergeCell ref="C13:G13"/>
    <mergeCell ref="C14:F14"/>
    <mergeCell ref="C2:N2"/>
    <mergeCell ref="L9:N9"/>
    <mergeCell ref="L8:N8"/>
    <mergeCell ref="L7:N7"/>
    <mergeCell ref="L6:N6"/>
    <mergeCell ref="C4:G4"/>
    <mergeCell ref="C5:F5"/>
    <mergeCell ref="C6:F6"/>
    <mergeCell ref="C7:F7"/>
  </mergeCells>
  <conditionalFormatting sqref="L7:L9">
    <cfRule type="cellIs" dxfId="5" priority="6" stopIfTrue="1" operator="equal">
      <formula>0</formula>
    </cfRule>
  </conditionalFormatting>
  <conditionalFormatting sqref="G5:G7 G10:G11 G14:G15">
    <cfRule type="cellIs" dxfId="4" priority="2" stopIfTrue="1" operator="equal">
      <formula>"Click Here"</formula>
    </cfRule>
  </conditionalFormatting>
  <conditionalFormatting sqref="I4:N4">
    <cfRule type="expression" dxfId="3" priority="1" stopIfTrue="1">
      <formula>$A$8=FALSE</formula>
    </cfRule>
  </conditionalFormatting>
  <dataValidations count="1">
    <dataValidation type="list" allowBlank="1" showInputMessage="1" showErrorMessage="1" sqref="G10:G11 G5:G7 G14:G15" xr:uid="{00000000-0002-0000-0000-000000000000}">
      <formula1>"Click Here, 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32"/>
  <sheetViews>
    <sheetView showGridLines="0" showRowColHeaders="0" topLeftCell="B1" zoomScaleNormal="100" workbookViewId="0">
      <selection activeCell="G5" sqref="G5"/>
    </sheetView>
  </sheetViews>
  <sheetFormatPr defaultRowHeight="15" x14ac:dyDescent="0.25"/>
  <cols>
    <col min="1" max="1" width="37.42578125" hidden="1" customWidth="1"/>
    <col min="2" max="2" width="1.7109375" customWidth="1"/>
    <col min="3" max="3" width="10.5703125" customWidth="1"/>
    <col min="4" max="4" width="15.42578125" customWidth="1"/>
    <col min="5" max="6" width="11.140625" customWidth="1"/>
    <col min="7" max="7" width="11.140625" style="5" customWidth="1"/>
    <col min="8" max="8" width="4" style="5" customWidth="1"/>
    <col min="9" max="9" width="18.28515625" style="5" customWidth="1"/>
    <col min="10" max="10" width="12.5703125" style="5" customWidth="1"/>
    <col min="11" max="12" width="12.5703125" customWidth="1"/>
    <col min="13" max="13" width="11.140625" customWidth="1"/>
    <col min="14" max="14" width="10.5703125" customWidth="1"/>
    <col min="18" max="18" width="16.42578125" customWidth="1"/>
  </cols>
  <sheetData>
    <row r="1" spans="1:13" ht="9" customHeight="1" x14ac:dyDescent="0.25"/>
    <row r="2" spans="1:13" ht="30" customHeight="1" x14ac:dyDescent="0.25">
      <c r="C2" s="88" t="s">
        <v>63</v>
      </c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9" customHeight="1" thickBot="1" x14ac:dyDescent="0.3"/>
    <row r="4" spans="1:13" ht="30" customHeight="1" x14ac:dyDescent="0.25">
      <c r="C4" s="103" t="s">
        <v>33</v>
      </c>
      <c r="D4" s="104"/>
      <c r="E4" s="104"/>
      <c r="F4" s="104"/>
      <c r="G4" s="105"/>
      <c r="H4"/>
      <c r="I4" s="93" t="s">
        <v>34</v>
      </c>
      <c r="J4" s="94"/>
      <c r="K4" s="94"/>
      <c r="L4" s="94"/>
      <c r="M4" s="95"/>
    </row>
    <row r="5" spans="1:13" ht="30" customHeight="1" x14ac:dyDescent="0.25">
      <c r="A5" s="5" t="str">
        <f>CONCATENATE(A7, A10, A11)</f>
        <v>TRUEOtherUnder</v>
      </c>
      <c r="B5" s="5"/>
      <c r="C5" s="55" t="s">
        <v>62</v>
      </c>
      <c r="D5" s="56"/>
      <c r="E5" s="56"/>
      <c r="F5" s="56"/>
      <c r="G5" s="8" t="s">
        <v>48</v>
      </c>
      <c r="H5"/>
      <c r="I5" s="96"/>
      <c r="J5" s="97"/>
      <c r="K5" s="97"/>
      <c r="L5" s="97"/>
      <c r="M5" s="98"/>
    </row>
    <row r="6" spans="1:13" ht="30" customHeight="1" x14ac:dyDescent="0.25">
      <c r="A6" t="b">
        <f>OR(G5="No",G6="No",G7="No")</f>
        <v>0</v>
      </c>
      <c r="B6" s="5"/>
      <c r="C6" s="55" t="s">
        <v>42</v>
      </c>
      <c r="D6" s="56"/>
      <c r="E6" s="56"/>
      <c r="F6" s="56"/>
      <c r="G6" s="8" t="s">
        <v>48</v>
      </c>
      <c r="H6"/>
      <c r="I6" s="91" t="s">
        <v>39</v>
      </c>
      <c r="J6" s="92"/>
      <c r="K6" s="92"/>
      <c r="L6" s="92"/>
      <c r="M6" s="8" t="s">
        <v>48</v>
      </c>
    </row>
    <row r="7" spans="1:13" ht="45" customHeight="1" thickBot="1" x14ac:dyDescent="0.3">
      <c r="A7" s="5" t="b">
        <f>OR(A9&gt;0,A6=TRUE)</f>
        <v>1</v>
      </c>
      <c r="B7" s="5"/>
      <c r="C7" s="57" t="s">
        <v>61</v>
      </c>
      <c r="D7" s="58"/>
      <c r="E7" s="58"/>
      <c r="F7" s="58"/>
      <c r="G7" s="41" t="s">
        <v>48</v>
      </c>
      <c r="I7" s="107" t="s">
        <v>40</v>
      </c>
      <c r="J7" s="108"/>
      <c r="K7" s="108"/>
      <c r="L7" s="109"/>
      <c r="M7" s="41" t="s">
        <v>48</v>
      </c>
    </row>
    <row r="8" spans="1:13" ht="9" customHeight="1" x14ac:dyDescent="0.25">
      <c r="A8" s="5"/>
    </row>
    <row r="9" spans="1:13" ht="27" customHeight="1" x14ac:dyDescent="0.25">
      <c r="A9" s="5">
        <f>COUNTIF(M6:M7, "Click Here")</f>
        <v>2</v>
      </c>
      <c r="C9" s="106" t="str">
        <f>IF(A6=TRUE,"Fee Scheme Does Not Apply To This Case",IF(A9&gt;0,"Please Answer All Questions Yes or No",""))</f>
        <v>Please Answer All Questions Yes or No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9" customHeight="1" thickBot="1" x14ac:dyDescent="0.3">
      <c r="A10" s="5" t="str">
        <f>IF(M6="Yes", "High", "Other")</f>
        <v>Other</v>
      </c>
      <c r="B10" s="5"/>
      <c r="H10" s="9"/>
    </row>
    <row r="11" spans="1:13" ht="27" customHeight="1" x14ac:dyDescent="0.25">
      <c r="A11" s="5" t="str">
        <f>IF(M7="Yes", "Over", "Under")</f>
        <v>Under</v>
      </c>
      <c r="B11" s="5"/>
      <c r="C11" s="89" t="s">
        <v>43</v>
      </c>
      <c r="D11" s="90"/>
      <c r="E11" s="90"/>
      <c r="F11" s="78" t="s">
        <v>27</v>
      </c>
      <c r="G11" s="78"/>
      <c r="H11" s="78" t="s">
        <v>24</v>
      </c>
      <c r="I11" s="78"/>
      <c r="J11" s="78" t="s">
        <v>25</v>
      </c>
      <c r="K11" s="78"/>
      <c r="L11" s="78"/>
      <c r="M11" s="110"/>
    </row>
    <row r="12" spans="1:13" ht="18" customHeight="1" x14ac:dyDescent="0.25">
      <c r="A12" s="5"/>
      <c r="C12" s="81" t="s">
        <v>28</v>
      </c>
      <c r="D12" s="82"/>
      <c r="E12" s="82"/>
      <c r="F12" s="86" t="e">
        <f>VLOOKUP($A$5,'VHCC Rates'!$A:$K,5,0)</f>
        <v>#N/A</v>
      </c>
      <c r="G12" s="86"/>
      <c r="H12" s="86" t="e">
        <f>VLOOKUP($A$5,'VHCC Rates'!$A:$K,8,0)</f>
        <v>#N/A</v>
      </c>
      <c r="I12" s="86"/>
      <c r="J12" s="86" t="e">
        <f>VLOOKUP($A$5,'VHCC Rates'!$A:$K,11,0)</f>
        <v>#N/A</v>
      </c>
      <c r="K12" s="86"/>
      <c r="L12" s="86"/>
      <c r="M12" s="120"/>
    </row>
    <row r="13" spans="1:13" ht="18" customHeight="1" x14ac:dyDescent="0.25">
      <c r="A13" s="5"/>
      <c r="C13" s="81" t="s">
        <v>29</v>
      </c>
      <c r="D13" s="82"/>
      <c r="E13" s="82"/>
      <c r="F13" s="86" t="e">
        <f>VLOOKUP($A$5,'VHCC Rates'!$A:$K,6,0)</f>
        <v>#N/A</v>
      </c>
      <c r="G13" s="86"/>
      <c r="H13" s="86" t="e">
        <f>VLOOKUP($A$5,'VHCC Rates'!$A:$K,9,0)</f>
        <v>#N/A</v>
      </c>
      <c r="I13" s="86"/>
      <c r="J13" s="86" t="e">
        <f>VLOOKUP($A$5,'VHCC Rates'!$A:$K,11,0)</f>
        <v>#N/A</v>
      </c>
      <c r="K13" s="86"/>
      <c r="L13" s="86"/>
      <c r="M13" s="120"/>
    </row>
    <row r="14" spans="1:13" ht="18" customHeight="1" x14ac:dyDescent="0.25">
      <c r="A14" s="5"/>
      <c r="B14" s="5"/>
      <c r="C14" s="81" t="s">
        <v>30</v>
      </c>
      <c r="D14" s="82"/>
      <c r="E14" s="82"/>
      <c r="F14" s="86" t="e">
        <f>VLOOKUP($A$5,'VHCC Rates'!$A:$K,7,0)</f>
        <v>#N/A</v>
      </c>
      <c r="G14" s="86"/>
      <c r="H14" s="86" t="e">
        <f>VLOOKUP($A$5,'VHCC Rates'!$A:$K,10,0)</f>
        <v>#N/A</v>
      </c>
      <c r="I14" s="86"/>
      <c r="J14" s="86" t="e">
        <f>VLOOKUP($A$5,'VHCC Rates'!$A:$K,11,0)</f>
        <v>#N/A</v>
      </c>
      <c r="K14" s="86"/>
      <c r="L14" s="86"/>
      <c r="M14" s="120"/>
    </row>
    <row r="15" spans="1:13" ht="27" customHeight="1" x14ac:dyDescent="0.25">
      <c r="A15" s="5"/>
      <c r="B15" s="5"/>
      <c r="C15" s="121" t="s">
        <v>44</v>
      </c>
      <c r="D15" s="99"/>
      <c r="E15" s="99"/>
      <c r="F15" s="99" t="s">
        <v>45</v>
      </c>
      <c r="G15" s="99"/>
      <c r="H15" s="99"/>
      <c r="I15" s="99" t="s">
        <v>46</v>
      </c>
      <c r="J15" s="99"/>
      <c r="K15" s="99"/>
      <c r="L15" s="99" t="s">
        <v>55</v>
      </c>
      <c r="M15" s="100"/>
    </row>
    <row r="16" spans="1:13" ht="18" customHeight="1" x14ac:dyDescent="0.25">
      <c r="B16" s="5"/>
      <c r="C16" s="81" t="s">
        <v>28</v>
      </c>
      <c r="D16" s="82"/>
      <c r="E16" s="82"/>
      <c r="F16" s="86" t="e">
        <f>VLOOKUP($A$5,'VHCC Rates'!$A:$U,12,0)</f>
        <v>#N/A</v>
      </c>
      <c r="G16" s="86"/>
      <c r="H16" s="86"/>
      <c r="I16" s="11" t="e">
        <f>VLOOKUP($A$5,'VHCC Rates'!$A:$U,15,0)</f>
        <v>#N/A</v>
      </c>
      <c r="J16" s="118" t="e">
        <f>VLOOKUP($A$5,'VHCC Rates'!$A:$U,16,0)</f>
        <v>#N/A</v>
      </c>
      <c r="K16" s="119"/>
      <c r="L16" s="99"/>
      <c r="M16" s="100"/>
    </row>
    <row r="17" spans="2:13" ht="18" customHeight="1" x14ac:dyDescent="0.25">
      <c r="B17" s="5"/>
      <c r="C17" s="81" t="s">
        <v>29</v>
      </c>
      <c r="D17" s="82"/>
      <c r="E17" s="82"/>
      <c r="F17" s="86" t="e">
        <f>VLOOKUP($A$5,'VHCC Rates'!$A:$U,13,0)</f>
        <v>#N/A</v>
      </c>
      <c r="G17" s="86"/>
      <c r="H17" s="86"/>
      <c r="I17" s="11" t="e">
        <f>VLOOKUP($A$5,'VHCC Rates'!$A:$U,17,0)</f>
        <v>#N/A</v>
      </c>
      <c r="J17" s="118" t="e">
        <f>VLOOKUP($A$5,'VHCC Rates'!$A:$U,16,0)</f>
        <v>#N/A</v>
      </c>
      <c r="K17" s="119"/>
      <c r="L17" s="99"/>
      <c r="M17" s="100"/>
    </row>
    <row r="18" spans="2:13" ht="18" customHeight="1" thickBot="1" x14ac:dyDescent="0.3">
      <c r="C18" s="83" t="s">
        <v>30</v>
      </c>
      <c r="D18" s="84"/>
      <c r="E18" s="84"/>
      <c r="F18" s="87" t="e">
        <f>VLOOKUP($A$5,'VHCC Rates'!$A:$U,14,0)</f>
        <v>#N/A</v>
      </c>
      <c r="G18" s="87"/>
      <c r="H18" s="87"/>
      <c r="I18" s="12" t="e">
        <f>VLOOKUP($A$5,'VHCC Rates'!$A:$U,18,0)</f>
        <v>#N/A</v>
      </c>
      <c r="J18" s="116" t="e">
        <f>VLOOKUP($A$5,'VHCC Rates'!$A:$U,19,0)</f>
        <v>#N/A</v>
      </c>
      <c r="K18" s="117"/>
      <c r="L18" s="101"/>
      <c r="M18" s="102"/>
    </row>
    <row r="19" spans="2:13" ht="15.75" thickBot="1" x14ac:dyDescent="0.3">
      <c r="H19"/>
    </row>
    <row r="20" spans="2:13" ht="27" customHeight="1" x14ac:dyDescent="0.25">
      <c r="C20" s="137" t="s">
        <v>43</v>
      </c>
      <c r="D20" s="138"/>
      <c r="E20" s="141" t="s">
        <v>27</v>
      </c>
      <c r="F20" s="141"/>
      <c r="G20" s="134" t="s">
        <v>24</v>
      </c>
      <c r="H20" s="134"/>
      <c r="I20" s="135"/>
      <c r="J20" s="78" t="s">
        <v>32</v>
      </c>
      <c r="K20" s="136"/>
      <c r="L20" s="124" t="s">
        <v>56</v>
      </c>
      <c r="M20" s="125"/>
    </row>
    <row r="21" spans="2:13" ht="18" customHeight="1" x14ac:dyDescent="0.25">
      <c r="C21" s="139" t="s">
        <v>28</v>
      </c>
      <c r="D21" s="140"/>
      <c r="E21" s="7"/>
      <c r="F21" s="17" t="e">
        <f>F12*E21</f>
        <v>#N/A</v>
      </c>
      <c r="G21" s="115"/>
      <c r="H21" s="115"/>
      <c r="I21" s="18" t="e">
        <f>H12*G21</f>
        <v>#N/A</v>
      </c>
      <c r="J21" s="86" t="e">
        <f>F21+I21</f>
        <v>#N/A</v>
      </c>
      <c r="K21" s="122"/>
      <c r="L21" s="126"/>
      <c r="M21" s="127"/>
    </row>
    <row r="22" spans="2:13" ht="18" customHeight="1" x14ac:dyDescent="0.25">
      <c r="C22" s="139" t="s">
        <v>29</v>
      </c>
      <c r="D22" s="140"/>
      <c r="E22" s="7"/>
      <c r="F22" s="17" t="e">
        <f>F13*E22</f>
        <v>#N/A</v>
      </c>
      <c r="G22" s="115"/>
      <c r="H22" s="115"/>
      <c r="I22" s="18" t="e">
        <f>H13*G22</f>
        <v>#N/A</v>
      </c>
      <c r="J22" s="86" t="e">
        <f>F22+I22</f>
        <v>#N/A</v>
      </c>
      <c r="K22" s="122"/>
      <c r="L22" s="126"/>
      <c r="M22" s="127"/>
    </row>
    <row r="23" spans="2:13" ht="18" customHeight="1" x14ac:dyDescent="0.25">
      <c r="C23" s="139" t="s">
        <v>30</v>
      </c>
      <c r="D23" s="140"/>
      <c r="E23" s="7"/>
      <c r="F23" s="17" t="e">
        <f>F14*E23</f>
        <v>#N/A</v>
      </c>
      <c r="G23" s="115"/>
      <c r="H23" s="115"/>
      <c r="I23" s="18" t="e">
        <f>H14*G23</f>
        <v>#N/A</v>
      </c>
      <c r="J23" s="86" t="e">
        <f>F23+I23</f>
        <v>#N/A</v>
      </c>
      <c r="K23" s="122"/>
      <c r="L23" s="126"/>
      <c r="M23" s="127"/>
    </row>
    <row r="24" spans="2:13" ht="27" customHeight="1" thickBot="1" x14ac:dyDescent="0.3">
      <c r="C24" s="113" t="s">
        <v>44</v>
      </c>
      <c r="D24" s="114"/>
      <c r="E24" s="114"/>
      <c r="F24" s="114"/>
      <c r="G24" s="114" t="s">
        <v>45</v>
      </c>
      <c r="H24" s="114"/>
      <c r="I24" s="114" t="s">
        <v>46</v>
      </c>
      <c r="J24" s="114"/>
      <c r="K24" s="131"/>
      <c r="L24" s="126"/>
      <c r="M24" s="127"/>
    </row>
    <row r="25" spans="2:13" ht="18" customHeight="1" x14ac:dyDescent="0.25">
      <c r="C25" s="111" t="s">
        <v>28</v>
      </c>
      <c r="D25" s="112"/>
      <c r="E25" s="112"/>
      <c r="F25" s="14"/>
      <c r="G25" s="85" t="e">
        <f>F16*F25</f>
        <v>#N/A</v>
      </c>
      <c r="H25" s="85"/>
      <c r="I25" s="40" t="e">
        <f>I16*F25</f>
        <v>#N/A</v>
      </c>
      <c r="J25" s="132" t="e">
        <f>J16</f>
        <v>#N/A</v>
      </c>
      <c r="K25" s="133"/>
      <c r="L25" s="126"/>
      <c r="M25" s="127"/>
    </row>
    <row r="26" spans="2:13" ht="18" customHeight="1" x14ac:dyDescent="0.25">
      <c r="C26" s="81" t="s">
        <v>29</v>
      </c>
      <c r="D26" s="82"/>
      <c r="E26" s="82"/>
      <c r="F26" s="7"/>
      <c r="G26" s="86" t="e">
        <f>F17*F26</f>
        <v>#N/A</v>
      </c>
      <c r="H26" s="86"/>
      <c r="I26" s="11" t="e">
        <f>I17*F26</f>
        <v>#N/A</v>
      </c>
      <c r="J26" s="118" t="e">
        <f>J17</f>
        <v>#N/A</v>
      </c>
      <c r="K26" s="130"/>
      <c r="L26" s="126"/>
      <c r="M26" s="127"/>
    </row>
    <row r="27" spans="2:13" ht="18" customHeight="1" thickBot="1" x14ac:dyDescent="0.3">
      <c r="C27" s="83" t="s">
        <v>30</v>
      </c>
      <c r="D27" s="84"/>
      <c r="E27" s="84"/>
      <c r="F27" s="13"/>
      <c r="G27" s="87" t="e">
        <f>F18*F27</f>
        <v>#N/A</v>
      </c>
      <c r="H27" s="87"/>
      <c r="I27" s="12" t="e">
        <f>I18*F27</f>
        <v>#N/A</v>
      </c>
      <c r="J27" s="117" t="e">
        <f>J18</f>
        <v>#N/A</v>
      </c>
      <c r="K27" s="123"/>
      <c r="L27" s="128"/>
      <c r="M27" s="129"/>
    </row>
    <row r="28" spans="2:13" ht="15.75" thickBot="1" x14ac:dyDescent="0.3">
      <c r="G28"/>
    </row>
    <row r="29" spans="2:13" ht="27" customHeight="1" x14ac:dyDescent="0.25">
      <c r="C29" s="70"/>
      <c r="D29" s="78" t="s">
        <v>47</v>
      </c>
      <c r="E29" s="78"/>
      <c r="F29" s="78"/>
      <c r="G29" s="78"/>
      <c r="H29" s="73"/>
      <c r="I29" s="78" t="s">
        <v>59</v>
      </c>
      <c r="J29" s="78"/>
      <c r="K29" s="78"/>
      <c r="L29" s="64"/>
      <c r="M29" s="65"/>
    </row>
    <row r="30" spans="2:13" ht="18" customHeight="1" x14ac:dyDescent="0.25">
      <c r="C30" s="71"/>
      <c r="D30" s="79" t="s">
        <v>58</v>
      </c>
      <c r="E30" s="79"/>
      <c r="F30" s="76" t="e">
        <f>SUM(F21:F23)+SUM(G25:H27)</f>
        <v>#N/A</v>
      </c>
      <c r="G30" s="76"/>
      <c r="H30" s="74"/>
      <c r="I30" s="15" t="s">
        <v>58</v>
      </c>
      <c r="J30" s="76" t="e">
        <f>SUM(F21:F23)+SUM(I25:I27)</f>
        <v>#N/A</v>
      </c>
      <c r="K30" s="76"/>
      <c r="L30" s="66"/>
      <c r="M30" s="67"/>
    </row>
    <row r="31" spans="2:13" ht="18" customHeight="1" x14ac:dyDescent="0.25">
      <c r="C31" s="71"/>
      <c r="D31" s="79" t="s">
        <v>57</v>
      </c>
      <c r="E31" s="79"/>
      <c r="F31" s="76" t="e">
        <f>SUM(I21:I23)</f>
        <v>#N/A</v>
      </c>
      <c r="G31" s="76"/>
      <c r="H31" s="74"/>
      <c r="I31" s="15" t="s">
        <v>57</v>
      </c>
      <c r="J31" s="76" t="e">
        <f>SUM(I21:I23)</f>
        <v>#N/A</v>
      </c>
      <c r="K31" s="76"/>
      <c r="L31" s="66"/>
      <c r="M31" s="67"/>
    </row>
    <row r="32" spans="2:13" ht="18" customHeight="1" thickBot="1" x14ac:dyDescent="0.3">
      <c r="C32" s="72"/>
      <c r="D32" s="80" t="s">
        <v>32</v>
      </c>
      <c r="E32" s="80"/>
      <c r="F32" s="77" t="e">
        <f>F30+F31</f>
        <v>#N/A</v>
      </c>
      <c r="G32" s="77"/>
      <c r="H32" s="75"/>
      <c r="I32" s="16" t="s">
        <v>32</v>
      </c>
      <c r="J32" s="77" t="e">
        <f>J30+J31</f>
        <v>#N/A</v>
      </c>
      <c r="K32" s="77"/>
      <c r="L32" s="68"/>
      <c r="M32" s="69"/>
    </row>
  </sheetData>
  <sheetProtection algorithmName="SHA-512" hashValue="p4bRn87NqVdEGXw3jfM7ddv1mtjGO5v6XO3lQhRvYBwd0yTmN/ZvaXDmqSNbHbG7RGI+4owD2CE18JX+vF2g6g==" saltValue="8Sici9iwm/cq4fFPimtgBQ==" spinCount="100000" sheet="1" objects="1" scenarios="1" selectLockedCells="1"/>
  <mergeCells count="78">
    <mergeCell ref="J27:K27"/>
    <mergeCell ref="L20:M27"/>
    <mergeCell ref="J26:K26"/>
    <mergeCell ref="I24:K24"/>
    <mergeCell ref="J25:K25"/>
    <mergeCell ref="G20:I20"/>
    <mergeCell ref="G21:H21"/>
    <mergeCell ref="J20:K20"/>
    <mergeCell ref="J21:K21"/>
    <mergeCell ref="J22:K22"/>
    <mergeCell ref="C15:E15"/>
    <mergeCell ref="C16:E16"/>
    <mergeCell ref="C17:E17"/>
    <mergeCell ref="C18:E18"/>
    <mergeCell ref="F15:H15"/>
    <mergeCell ref="F16:H16"/>
    <mergeCell ref="F17:H17"/>
    <mergeCell ref="F18:H18"/>
    <mergeCell ref="C24:F24"/>
    <mergeCell ref="G22:H22"/>
    <mergeCell ref="G23:H23"/>
    <mergeCell ref="G24:H24"/>
    <mergeCell ref="J18:K18"/>
    <mergeCell ref="J23:K23"/>
    <mergeCell ref="C20:D20"/>
    <mergeCell ref="C21:D21"/>
    <mergeCell ref="C22:D22"/>
    <mergeCell ref="C23:D23"/>
    <mergeCell ref="E20:F20"/>
    <mergeCell ref="L15:M18"/>
    <mergeCell ref="C4:G4"/>
    <mergeCell ref="C5:F5"/>
    <mergeCell ref="C6:F6"/>
    <mergeCell ref="C9:M9"/>
    <mergeCell ref="F11:G11"/>
    <mergeCell ref="F12:G12"/>
    <mergeCell ref="I7:L7"/>
    <mergeCell ref="J11:M11"/>
    <mergeCell ref="C12:E12"/>
    <mergeCell ref="C13:E13"/>
    <mergeCell ref="C14:E14"/>
    <mergeCell ref="J17:K17"/>
    <mergeCell ref="J16:K16"/>
    <mergeCell ref="I15:K15"/>
    <mergeCell ref="H12:I12"/>
    <mergeCell ref="F14:G14"/>
    <mergeCell ref="C2:M2"/>
    <mergeCell ref="C11:E11"/>
    <mergeCell ref="I6:L6"/>
    <mergeCell ref="H11:I11"/>
    <mergeCell ref="I4:M5"/>
    <mergeCell ref="C7:F7"/>
    <mergeCell ref="F13:G13"/>
    <mergeCell ref="H13:I13"/>
    <mergeCell ref="H14:I14"/>
    <mergeCell ref="J12:M12"/>
    <mergeCell ref="J13:M13"/>
    <mergeCell ref="J14:M14"/>
    <mergeCell ref="C26:E26"/>
    <mergeCell ref="C27:E27"/>
    <mergeCell ref="G25:H25"/>
    <mergeCell ref="G26:H26"/>
    <mergeCell ref="G27:H27"/>
    <mergeCell ref="C25:E25"/>
    <mergeCell ref="L29:M32"/>
    <mergeCell ref="C29:C32"/>
    <mergeCell ref="H29:H32"/>
    <mergeCell ref="F30:G30"/>
    <mergeCell ref="F31:G31"/>
    <mergeCell ref="F32:G32"/>
    <mergeCell ref="D29:G29"/>
    <mergeCell ref="D30:E30"/>
    <mergeCell ref="D31:E31"/>
    <mergeCell ref="D32:E32"/>
    <mergeCell ref="I29:K29"/>
    <mergeCell ref="J30:K30"/>
    <mergeCell ref="J31:K31"/>
    <mergeCell ref="J32:K32"/>
  </mergeCells>
  <conditionalFormatting sqref="J16:J18 J25:J27 J12:M14">
    <cfRule type="cellIs" dxfId="2" priority="6" stopIfTrue="1" operator="equal">
      <formula>0</formula>
    </cfRule>
  </conditionalFormatting>
  <conditionalFormatting sqref="C9">
    <cfRule type="expression" dxfId="1" priority="5" stopIfTrue="1">
      <formula>$A$7=TRUE</formula>
    </cfRule>
  </conditionalFormatting>
  <conditionalFormatting sqref="G5:G7 M6:M7">
    <cfRule type="cellIs" dxfId="0" priority="4" stopIfTrue="1" operator="equal">
      <formula>"Click Here"</formula>
    </cfRule>
  </conditionalFormatting>
  <dataValidations count="1">
    <dataValidation type="list" allowBlank="1" showInputMessage="1" showErrorMessage="1" sqref="M6:M7 G5:G7" xr:uid="{00000000-0002-0000-0100-000000000000}">
      <formula1>"Click Here, 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30"/>
  <sheetViews>
    <sheetView workbookViewId="0"/>
  </sheetViews>
  <sheetFormatPr defaultRowHeight="15" x14ac:dyDescent="0.25"/>
  <cols>
    <col min="1" max="1" width="24.42578125" customWidth="1"/>
    <col min="2" max="2" width="12.5703125" customWidth="1"/>
    <col min="3" max="3" width="11.85546875" customWidth="1"/>
    <col min="4" max="4" width="13.7109375" bestFit="1" customWidth="1"/>
    <col min="5" max="10" width="9.140625" style="6" customWidth="1"/>
    <col min="11" max="11" width="9.140625" customWidth="1"/>
  </cols>
  <sheetData>
    <row r="1" spans="1:2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</row>
    <row r="2" spans="1:26" x14ac:dyDescent="0.25">
      <c r="E2" s="6" t="s">
        <v>23</v>
      </c>
      <c r="H2" s="6" t="s">
        <v>24</v>
      </c>
      <c r="M2" s="6"/>
      <c r="N2" s="6"/>
      <c r="O2" s="6"/>
      <c r="P2" s="6"/>
      <c r="Q2" s="6"/>
      <c r="R2" s="6"/>
      <c r="U2" s="6"/>
      <c r="V2" s="6"/>
      <c r="W2" s="6"/>
      <c r="X2" s="6"/>
      <c r="Y2" s="6"/>
      <c r="Z2" s="6"/>
    </row>
    <row r="3" spans="1:26" x14ac:dyDescent="0.25">
      <c r="A3" t="s">
        <v>12</v>
      </c>
      <c r="B3" t="s">
        <v>10</v>
      </c>
      <c r="C3" t="s">
        <v>13</v>
      </c>
      <c r="D3" t="s">
        <v>18</v>
      </c>
      <c r="E3" s="6" t="s">
        <v>19</v>
      </c>
      <c r="F3" s="6" t="s">
        <v>20</v>
      </c>
      <c r="G3" s="6" t="s">
        <v>21</v>
      </c>
      <c r="H3" s="6" t="s">
        <v>19</v>
      </c>
      <c r="I3" s="6" t="s">
        <v>20</v>
      </c>
      <c r="J3" s="6" t="s">
        <v>21</v>
      </c>
      <c r="K3" t="s">
        <v>25</v>
      </c>
      <c r="M3" s="6"/>
      <c r="N3" s="6"/>
      <c r="O3" s="6"/>
      <c r="P3" s="6"/>
      <c r="Q3" s="6"/>
      <c r="R3" s="6"/>
      <c r="U3" s="6"/>
      <c r="V3" s="6"/>
      <c r="W3" s="6"/>
      <c r="X3" s="6"/>
      <c r="Y3" s="6"/>
      <c r="Z3" s="6"/>
    </row>
    <row r="4" spans="1:26" x14ac:dyDescent="0.25">
      <c r="A4" t="str">
        <f>CONCATENATE(B4, C4, D4)</f>
        <v>OtherUnder10% reduction</v>
      </c>
      <c r="B4" t="s">
        <v>22</v>
      </c>
      <c r="C4" t="s">
        <v>21</v>
      </c>
      <c r="D4" t="s">
        <v>9</v>
      </c>
      <c r="E4" s="6">
        <v>774</v>
      </c>
      <c r="F4" s="6">
        <v>310.5</v>
      </c>
      <c r="G4" s="6">
        <v>463.5</v>
      </c>
      <c r="H4" s="6">
        <v>0</v>
      </c>
      <c r="I4" s="6">
        <v>0</v>
      </c>
      <c r="J4" s="6">
        <v>0</v>
      </c>
      <c r="K4" t="s">
        <v>31</v>
      </c>
      <c r="M4" s="6"/>
    </row>
    <row r="5" spans="1:26" x14ac:dyDescent="0.25">
      <c r="A5" t="str">
        <f t="shared" ref="A5:A11" si="0">CONCATENATE(B5, C5, D5)</f>
        <v>OtherUnderOriginal</v>
      </c>
      <c r="B5" t="s">
        <v>22</v>
      </c>
      <c r="C5" t="s">
        <v>21</v>
      </c>
      <c r="D5" t="s">
        <v>4</v>
      </c>
      <c r="E5" s="6">
        <v>860</v>
      </c>
      <c r="F5" s="6">
        <v>345</v>
      </c>
      <c r="G5" s="6">
        <v>515</v>
      </c>
      <c r="H5" s="6">
        <v>550</v>
      </c>
      <c r="I5" s="6">
        <v>330</v>
      </c>
      <c r="J5" s="6">
        <v>220</v>
      </c>
      <c r="K5" t="s">
        <v>26</v>
      </c>
      <c r="M5" s="6"/>
    </row>
    <row r="6" spans="1:26" x14ac:dyDescent="0.25">
      <c r="A6" t="str">
        <f t="shared" si="0"/>
        <v>OtherOver10% reduction</v>
      </c>
      <c r="B6" t="s">
        <v>22</v>
      </c>
      <c r="C6" t="s">
        <v>20</v>
      </c>
      <c r="D6" t="s">
        <v>9</v>
      </c>
      <c r="E6" s="6">
        <v>531</v>
      </c>
      <c r="F6" s="6">
        <v>211.5</v>
      </c>
      <c r="G6" s="6">
        <v>319.5</v>
      </c>
      <c r="H6" s="6">
        <v>981</v>
      </c>
      <c r="I6" s="6">
        <v>589.5</v>
      </c>
      <c r="J6" s="6">
        <v>391.5</v>
      </c>
    </row>
    <row r="7" spans="1:26" x14ac:dyDescent="0.25">
      <c r="A7" t="str">
        <f t="shared" si="0"/>
        <v>OtherOverOriginal</v>
      </c>
      <c r="B7" t="s">
        <v>22</v>
      </c>
      <c r="C7" t="s">
        <v>20</v>
      </c>
      <c r="D7" t="s">
        <v>4</v>
      </c>
      <c r="E7" s="6">
        <v>590</v>
      </c>
      <c r="F7" s="6">
        <v>235</v>
      </c>
      <c r="G7" s="6">
        <v>355</v>
      </c>
      <c r="H7" s="6">
        <v>1090</v>
      </c>
      <c r="I7" s="6">
        <v>655</v>
      </c>
      <c r="J7" s="6">
        <v>435</v>
      </c>
    </row>
    <row r="8" spans="1:26" x14ac:dyDescent="0.25">
      <c r="A8" t="str">
        <f t="shared" si="0"/>
        <v>HighUnder10% reduction</v>
      </c>
      <c r="B8" t="s">
        <v>11</v>
      </c>
      <c r="C8" t="s">
        <v>21</v>
      </c>
      <c r="D8" t="s">
        <v>9</v>
      </c>
      <c r="E8" s="6">
        <v>1053</v>
      </c>
      <c r="F8" s="6">
        <v>423</v>
      </c>
      <c r="G8" s="6">
        <v>630</v>
      </c>
      <c r="H8" s="6">
        <v>0</v>
      </c>
      <c r="I8" s="6">
        <v>0</v>
      </c>
      <c r="J8" s="6">
        <v>0</v>
      </c>
      <c r="K8" t="s">
        <v>31</v>
      </c>
    </row>
    <row r="9" spans="1:26" x14ac:dyDescent="0.25">
      <c r="A9" t="str">
        <f t="shared" si="0"/>
        <v>HighUnderOriginal</v>
      </c>
      <c r="B9" t="s">
        <v>11</v>
      </c>
      <c r="C9" t="s">
        <v>21</v>
      </c>
      <c r="D9" t="s">
        <v>4</v>
      </c>
      <c r="E9" s="6">
        <v>1170</v>
      </c>
      <c r="F9" s="6">
        <v>470</v>
      </c>
      <c r="G9" s="6">
        <v>700</v>
      </c>
      <c r="H9" s="6">
        <v>690</v>
      </c>
      <c r="I9" s="6">
        <v>415</v>
      </c>
      <c r="J9" s="6">
        <v>275</v>
      </c>
      <c r="K9" t="s">
        <v>26</v>
      </c>
    </row>
    <row r="10" spans="1:26" x14ac:dyDescent="0.25">
      <c r="A10" t="str">
        <f t="shared" si="0"/>
        <v>HighOver10% reduction</v>
      </c>
      <c r="B10" t="s">
        <v>11</v>
      </c>
      <c r="C10" t="s">
        <v>20</v>
      </c>
      <c r="D10" t="s">
        <v>9</v>
      </c>
      <c r="E10" s="6">
        <v>801</v>
      </c>
      <c r="F10" s="6">
        <v>319.5</v>
      </c>
      <c r="G10" s="6">
        <v>481.5</v>
      </c>
      <c r="H10" s="6">
        <v>1026</v>
      </c>
      <c r="I10" s="6">
        <v>616.5</v>
      </c>
      <c r="J10" s="6">
        <v>409.5</v>
      </c>
    </row>
    <row r="11" spans="1:26" x14ac:dyDescent="0.25">
      <c r="A11" t="str">
        <f t="shared" si="0"/>
        <v>HighOverOriginal</v>
      </c>
      <c r="B11" t="s">
        <v>11</v>
      </c>
      <c r="C11" t="s">
        <v>20</v>
      </c>
      <c r="D11" t="s">
        <v>4</v>
      </c>
      <c r="E11" s="6">
        <v>890</v>
      </c>
      <c r="F11" s="6">
        <v>355</v>
      </c>
      <c r="G11" s="6">
        <v>535</v>
      </c>
      <c r="H11" s="6">
        <v>1140</v>
      </c>
      <c r="I11" s="6">
        <v>685</v>
      </c>
      <c r="J11" s="6">
        <v>455</v>
      </c>
    </row>
    <row r="13" spans="1:26" x14ac:dyDescent="0.25">
      <c r="A13">
        <v>1</v>
      </c>
      <c r="B13">
        <v>2</v>
      </c>
      <c r="C13">
        <v>3</v>
      </c>
      <c r="D13">
        <v>4</v>
      </c>
      <c r="E13">
        <v>5</v>
      </c>
      <c r="F13">
        <v>6</v>
      </c>
      <c r="G13">
        <v>7</v>
      </c>
      <c r="H13">
        <v>8</v>
      </c>
      <c r="I13">
        <v>9</v>
      </c>
      <c r="J13">
        <v>10</v>
      </c>
      <c r="K13">
        <v>11</v>
      </c>
      <c r="L13">
        <v>12</v>
      </c>
      <c r="M13">
        <v>13</v>
      </c>
      <c r="N13">
        <v>14</v>
      </c>
      <c r="O13">
        <v>15</v>
      </c>
      <c r="P13">
        <v>16</v>
      </c>
      <c r="Q13">
        <v>17</v>
      </c>
      <c r="R13">
        <v>18</v>
      </c>
      <c r="S13">
        <v>19</v>
      </c>
    </row>
    <row r="14" spans="1:26" x14ac:dyDescent="0.25">
      <c r="E14" s="6" t="s">
        <v>50</v>
      </c>
      <c r="L14" t="s">
        <v>51</v>
      </c>
      <c r="P14" t="s">
        <v>52</v>
      </c>
    </row>
    <row r="15" spans="1:26" x14ac:dyDescent="0.25">
      <c r="E15" s="6" t="s">
        <v>23</v>
      </c>
      <c r="H15" s="6" t="s">
        <v>24</v>
      </c>
      <c r="L15" s="6" t="s">
        <v>23</v>
      </c>
      <c r="M15" s="6"/>
      <c r="N15" s="6"/>
      <c r="P15" s="6" t="s">
        <v>23</v>
      </c>
      <c r="Q15" s="6"/>
      <c r="R15" s="6"/>
    </row>
    <row r="16" spans="1:26" x14ac:dyDescent="0.25">
      <c r="B16" t="s">
        <v>49</v>
      </c>
      <c r="C16" t="s">
        <v>10</v>
      </c>
      <c r="D16" t="s">
        <v>13</v>
      </c>
      <c r="E16" s="6" t="s">
        <v>19</v>
      </c>
      <c r="F16" s="6" t="s">
        <v>20</v>
      </c>
      <c r="G16" s="6" t="s">
        <v>21</v>
      </c>
      <c r="H16" s="6" t="s">
        <v>19</v>
      </c>
      <c r="I16" s="6" t="s">
        <v>20</v>
      </c>
      <c r="J16" s="6" t="s">
        <v>21</v>
      </c>
      <c r="K16" t="s">
        <v>25</v>
      </c>
      <c r="L16" s="6" t="s">
        <v>19</v>
      </c>
      <c r="M16" s="6" t="s">
        <v>20</v>
      </c>
      <c r="N16" s="6" t="s">
        <v>21</v>
      </c>
      <c r="O16" s="6" t="s">
        <v>19</v>
      </c>
      <c r="P16" t="s">
        <v>25</v>
      </c>
      <c r="Q16" s="6" t="s">
        <v>20</v>
      </c>
      <c r="R16" s="6" t="s">
        <v>21</v>
      </c>
      <c r="S16" t="s">
        <v>25</v>
      </c>
    </row>
    <row r="17" spans="1:19" x14ac:dyDescent="0.25">
      <c r="A17" t="str">
        <f>CONCATENATE(B17, C17, D17)</f>
        <v>FALSEOtherUnder</v>
      </c>
      <c r="B17" t="b">
        <v>0</v>
      </c>
      <c r="C17" t="s">
        <v>22</v>
      </c>
      <c r="D17" t="s">
        <v>21</v>
      </c>
      <c r="E17" s="6">
        <v>707</v>
      </c>
      <c r="F17" s="6">
        <v>285</v>
      </c>
      <c r="G17" s="6">
        <v>425</v>
      </c>
      <c r="H17" s="6">
        <v>0</v>
      </c>
      <c r="I17" s="6">
        <v>0</v>
      </c>
      <c r="J17" s="6">
        <v>0</v>
      </c>
      <c r="K17" s="6" t="s">
        <v>31</v>
      </c>
      <c r="L17" s="6">
        <v>1157</v>
      </c>
      <c r="M17" s="6">
        <v>465</v>
      </c>
      <c r="N17" s="6">
        <v>695</v>
      </c>
      <c r="O17" s="6">
        <v>707</v>
      </c>
      <c r="P17" s="10" t="s">
        <v>53</v>
      </c>
      <c r="Q17" s="6">
        <v>0</v>
      </c>
      <c r="R17" s="6">
        <v>285</v>
      </c>
      <c r="S17" s="10" t="s">
        <v>54</v>
      </c>
    </row>
    <row r="18" spans="1:19" x14ac:dyDescent="0.25">
      <c r="A18" t="str">
        <f>CONCATENATE(B18, C18, D18)</f>
        <v>FALSEOtherOver</v>
      </c>
      <c r="B18" t="b">
        <v>0</v>
      </c>
      <c r="C18" t="s">
        <v>22</v>
      </c>
      <c r="D18" t="s">
        <v>20</v>
      </c>
      <c r="E18" s="6">
        <v>504</v>
      </c>
      <c r="F18" s="6">
        <v>200</v>
      </c>
      <c r="G18" s="6">
        <v>305</v>
      </c>
      <c r="H18" s="6">
        <v>981</v>
      </c>
      <c r="I18" s="6">
        <v>589.5</v>
      </c>
      <c r="J18" s="6">
        <v>391.5</v>
      </c>
      <c r="K18" s="6"/>
      <c r="L18" s="6">
        <v>1157</v>
      </c>
      <c r="M18" s="6">
        <v>465</v>
      </c>
      <c r="N18" s="6">
        <v>695</v>
      </c>
      <c r="O18" s="6">
        <v>707</v>
      </c>
      <c r="P18" s="10" t="s">
        <v>53</v>
      </c>
      <c r="Q18" s="6">
        <v>0</v>
      </c>
      <c r="R18" s="6">
        <v>285</v>
      </c>
      <c r="S18" s="10" t="s">
        <v>54</v>
      </c>
    </row>
    <row r="19" spans="1:19" x14ac:dyDescent="0.25">
      <c r="A19" t="str">
        <f>CONCATENATE(B19, C19, D19)</f>
        <v>FALSEHighUnder</v>
      </c>
      <c r="B19" t="b">
        <v>0</v>
      </c>
      <c r="C19" t="s">
        <v>11</v>
      </c>
      <c r="D19" t="s">
        <v>21</v>
      </c>
      <c r="E19" s="6">
        <v>961</v>
      </c>
      <c r="F19" s="6">
        <v>385</v>
      </c>
      <c r="G19" s="6">
        <v>575</v>
      </c>
      <c r="H19" s="6">
        <v>0</v>
      </c>
      <c r="I19" s="6">
        <v>0</v>
      </c>
      <c r="J19" s="6">
        <v>0</v>
      </c>
      <c r="K19" s="6" t="s">
        <v>31</v>
      </c>
      <c r="L19" s="6">
        <v>1157</v>
      </c>
      <c r="M19" s="6">
        <v>530</v>
      </c>
      <c r="N19" s="6">
        <v>795</v>
      </c>
      <c r="O19" s="6">
        <v>707</v>
      </c>
      <c r="P19" s="10" t="s">
        <v>53</v>
      </c>
      <c r="Q19" s="6">
        <v>0</v>
      </c>
      <c r="R19" s="6">
        <v>385</v>
      </c>
      <c r="S19" s="10" t="s">
        <v>54</v>
      </c>
    </row>
    <row r="20" spans="1:19" x14ac:dyDescent="0.25">
      <c r="A20" t="str">
        <f>CONCATENATE(B20, C20, D20)</f>
        <v>FALSEHighOver</v>
      </c>
      <c r="B20" t="b">
        <v>0</v>
      </c>
      <c r="C20" t="s">
        <v>11</v>
      </c>
      <c r="D20" t="s">
        <v>20</v>
      </c>
      <c r="E20" s="6">
        <v>760</v>
      </c>
      <c r="F20" s="6">
        <v>305</v>
      </c>
      <c r="G20" s="6">
        <v>455</v>
      </c>
      <c r="H20" s="6">
        <v>1026</v>
      </c>
      <c r="I20" s="6">
        <v>616.5</v>
      </c>
      <c r="J20" s="6">
        <v>409.5</v>
      </c>
      <c r="K20" s="6"/>
      <c r="L20" s="6">
        <v>1157</v>
      </c>
      <c r="M20" s="6">
        <v>530</v>
      </c>
      <c r="N20" s="6">
        <v>795</v>
      </c>
      <c r="O20" s="6">
        <v>707</v>
      </c>
      <c r="P20" s="10" t="s">
        <v>53</v>
      </c>
      <c r="Q20" s="6">
        <v>0</v>
      </c>
      <c r="R20" s="6">
        <v>385</v>
      </c>
      <c r="S20" s="10" t="s">
        <v>54</v>
      </c>
    </row>
    <row r="24" spans="1:19" ht="45" x14ac:dyDescent="0.25">
      <c r="B24" s="1" t="s">
        <v>0</v>
      </c>
      <c r="C24" s="1" t="s">
        <v>1</v>
      </c>
      <c r="D24" s="2" t="s">
        <v>2</v>
      </c>
      <c r="E24" s="3"/>
    </row>
    <row r="25" spans="1:19" x14ac:dyDescent="0.25">
      <c r="B25" s="4" t="s">
        <v>3</v>
      </c>
      <c r="C25" s="4" t="s">
        <v>3</v>
      </c>
      <c r="D25" s="4" t="s">
        <v>4</v>
      </c>
      <c r="E25" s="4"/>
    </row>
    <row r="26" spans="1:19" x14ac:dyDescent="0.25">
      <c r="A26" t="s">
        <v>14</v>
      </c>
      <c r="B26" s="4" t="s">
        <v>3</v>
      </c>
      <c r="C26" s="4" t="s">
        <v>5</v>
      </c>
      <c r="D26" s="4" t="s">
        <v>4</v>
      </c>
      <c r="E26" s="4"/>
    </row>
    <row r="27" spans="1:19" x14ac:dyDescent="0.25">
      <c r="A27" t="s">
        <v>15</v>
      </c>
      <c r="B27" s="4" t="s">
        <v>3</v>
      </c>
      <c r="C27" s="4" t="s">
        <v>6</v>
      </c>
      <c r="D27" s="4" t="s">
        <v>4</v>
      </c>
      <c r="E27" s="4"/>
    </row>
    <row r="28" spans="1:19" x14ac:dyDescent="0.25">
      <c r="B28" s="4" t="s">
        <v>7</v>
      </c>
      <c r="C28" s="4" t="s">
        <v>3</v>
      </c>
      <c r="D28" s="4" t="s">
        <v>8</v>
      </c>
      <c r="E28" s="4"/>
    </row>
    <row r="29" spans="1:19" x14ac:dyDescent="0.25">
      <c r="A29" t="s">
        <v>16</v>
      </c>
      <c r="B29" s="4" t="s">
        <v>7</v>
      </c>
      <c r="C29" s="4" t="s">
        <v>5</v>
      </c>
      <c r="D29" s="4" t="s">
        <v>4</v>
      </c>
      <c r="E29" s="4"/>
    </row>
    <row r="30" spans="1:19" x14ac:dyDescent="0.25">
      <c r="A30" t="s">
        <v>17</v>
      </c>
      <c r="B30" s="4" t="s">
        <v>7</v>
      </c>
      <c r="C30" s="4" t="s">
        <v>6</v>
      </c>
      <c r="D30" s="4" t="s">
        <v>9</v>
      </c>
      <c r="E30" s="4"/>
    </row>
  </sheetData>
  <sheetProtection password="CA0D" sheet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Standard Model</vt:lpstr>
      <vt:lpstr>Advocacy Model</vt:lpstr>
      <vt:lpstr>VHCC Rates</vt:lpstr>
      <vt:lpstr>'Advocacy Model'!Print_Area</vt:lpstr>
      <vt:lpstr>'Standard Model'!Print_Area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Mjones2</dc:creator>
  <cp:lastModifiedBy>Dryden, James</cp:lastModifiedBy>
  <cp:lastPrinted>2015-04-20T08:44:30Z</cp:lastPrinted>
  <dcterms:created xsi:type="dcterms:W3CDTF">2014-11-03T09:47:01Z</dcterms:created>
  <dcterms:modified xsi:type="dcterms:W3CDTF">2022-09-30T12:17:35Z</dcterms:modified>
</cp:coreProperties>
</file>